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fileSharing readOnlyRecommended="1"/>
  <workbookPr codeName="ThisWorkbook"/>
  <mc:AlternateContent xmlns:mc="http://schemas.openxmlformats.org/markup-compatibility/2006">
    <mc:Choice Requires="x15">
      <x15ac:absPath xmlns:x15ac="http://schemas.microsoft.com/office/spreadsheetml/2010/11/ac" url="D:\料金改定関係\お試しデータ\"/>
    </mc:Choice>
  </mc:AlternateContent>
  <xr:revisionPtr revIDLastSave="0" documentId="8_{00F4DE9A-DB52-4019-8752-94CFCD13FAD0}" xr6:coauthVersionLast="47" xr6:coauthVersionMax="47" xr10:uidLastSave="{00000000-0000-0000-0000-000000000000}"/>
  <workbookProtection workbookAlgorithmName="SHA-512" workbookHashValue="e2d+lQuCQrb2+vSEfGfLU2W1ALcrk/s+QHpytqjSzT/WuOGVV2FnwLG9LBTkt4j4fFdWCQu0+0vEjhmGm1TQ7w==" workbookSaltValue="L7ziLh5LoL8BiffGb3y8Zw==" workbookSpinCount="100000" lockStructure="1"/>
  <bookViews>
    <workbookView xWindow="-120" yWindow="-120" windowWidth="20730" windowHeight="11040" firstSheet="8" activeTab="8" xr2:uid="{00000000-000D-0000-FFFF-FFFF00000000}"/>
  </bookViews>
  <sheets>
    <sheet name="1" sheetId="4" state="hidden" r:id="rId1"/>
    <sheet name="2" sheetId="1" state="hidden" r:id="rId2"/>
    <sheet name="2.5" sheetId="11" state="hidden" r:id="rId3"/>
    <sheet name="3" sheetId="3" state="hidden" r:id="rId4"/>
    <sheet name="4.5" sheetId="6" state="hidden" r:id="rId5"/>
    <sheet name="5" sheetId="7" state="hidden" r:id="rId6"/>
    <sheet name="5.5" sheetId="10" state="hidden" r:id="rId7"/>
    <sheet name="6" sheetId="8" state="hidden" r:id="rId8"/>
    <sheet name="料金計算ツール"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9" l="1"/>
  <c r="A9" i="9"/>
  <c r="B2" i="11" l="1"/>
  <c r="B15" i="11"/>
  <c r="B14" i="11"/>
  <c r="T3" i="11"/>
  <c r="S3" i="11"/>
  <c r="R3" i="11"/>
  <c r="Q3" i="11"/>
  <c r="P3" i="11"/>
  <c r="N3" i="11"/>
  <c r="T2" i="11"/>
  <c r="S2" i="11"/>
  <c r="R2" i="11"/>
  <c r="Q2" i="11"/>
  <c r="P2" i="11"/>
  <c r="N2" i="11"/>
  <c r="E29" i="11" l="1"/>
  <c r="E28" i="11"/>
  <c r="E27" i="11"/>
  <c r="E24" i="11"/>
  <c r="E23" i="11"/>
  <c r="E22" i="11"/>
  <c r="E19" i="11"/>
  <c r="E18" i="11"/>
  <c r="E17" i="11"/>
  <c r="H15" i="11"/>
  <c r="E14" i="11"/>
  <c r="E13" i="11"/>
  <c r="H12" i="11"/>
  <c r="E12" i="11"/>
  <c r="T10" i="11"/>
  <c r="S10" i="11"/>
  <c r="R10" i="11"/>
  <c r="Q10" i="11"/>
  <c r="P10" i="11"/>
  <c r="N10" i="11"/>
  <c r="B10" i="11"/>
  <c r="T9" i="11"/>
  <c r="S9" i="11"/>
  <c r="R9" i="11"/>
  <c r="Q9" i="11"/>
  <c r="P9" i="11"/>
  <c r="N9" i="11"/>
  <c r="T8" i="11"/>
  <c r="S8" i="11"/>
  <c r="R8" i="11"/>
  <c r="Q8" i="11"/>
  <c r="P8" i="11"/>
  <c r="N8" i="11"/>
  <c r="T7" i="11"/>
  <c r="S7" i="11"/>
  <c r="R7" i="11"/>
  <c r="Q7" i="11"/>
  <c r="P7" i="11"/>
  <c r="N7" i="11"/>
  <c r="T6" i="11"/>
  <c r="S6" i="11"/>
  <c r="R6" i="11"/>
  <c r="Q6" i="11"/>
  <c r="P6" i="11"/>
  <c r="N6" i="11"/>
  <c r="T5" i="11"/>
  <c r="S5" i="11"/>
  <c r="R5" i="11"/>
  <c r="Q5" i="11"/>
  <c r="P5" i="11"/>
  <c r="N5" i="11"/>
  <c r="T4" i="11"/>
  <c r="S4" i="11"/>
  <c r="R4" i="11"/>
  <c r="Q4" i="11"/>
  <c r="P4" i="11"/>
  <c r="N4" i="11"/>
  <c r="B3" i="11"/>
  <c r="H17" i="11"/>
  <c r="H16" i="11"/>
  <c r="H14" i="11"/>
  <c r="H13" i="11"/>
  <c r="H11" i="11"/>
  <c r="J10" i="11"/>
  <c r="D11" i="9"/>
  <c r="E4" i="11" l="1"/>
  <c r="D5" i="11" s="1"/>
  <c r="L3" i="11"/>
  <c r="L2" i="11"/>
  <c r="B13" i="11" s="1"/>
  <c r="B4" i="11" s="1"/>
  <c r="E6" i="11"/>
  <c r="D7" i="11" s="1"/>
  <c r="E5" i="11"/>
  <c r="D6" i="11" s="1"/>
  <c r="J8" i="11"/>
  <c r="I8" i="11" s="1"/>
  <c r="H8" i="11" s="1"/>
  <c r="G4" i="11" s="1"/>
  <c r="J9" i="11"/>
  <c r="I9" i="11" s="1"/>
  <c r="H9" i="11" s="1"/>
  <c r="G5" i="11" s="1"/>
  <c r="I10" i="11"/>
  <c r="H10" i="11" s="1"/>
  <c r="G6" i="11" s="1"/>
  <c r="E12" i="4"/>
  <c r="F4" i="11" l="1"/>
  <c r="B5" i="11"/>
  <c r="B6" i="11" s="1"/>
  <c r="F6" i="11"/>
  <c r="F5" i="11"/>
  <c r="E14" i="10"/>
  <c r="E13" i="10"/>
  <c r="F10" i="10"/>
  <c r="F22" i="10" s="1"/>
  <c r="E22" i="10" s="1"/>
  <c r="B10" i="10"/>
  <c r="E4" i="10" s="1"/>
  <c r="D5" i="10" s="1"/>
  <c r="F9" i="10"/>
  <c r="F21" i="10" s="1"/>
  <c r="E21" i="10" s="1"/>
  <c r="B3" i="10"/>
  <c r="P2" i="10"/>
  <c r="O2" i="10"/>
  <c r="N2" i="10"/>
  <c r="M2" i="10"/>
  <c r="L2" i="10"/>
  <c r="J2" i="10"/>
  <c r="B7" i="11" l="1"/>
  <c r="B8" i="11" s="1"/>
  <c r="E10" i="10"/>
  <c r="E9" i="10"/>
  <c r="F17" i="10"/>
  <c r="E17" i="10" s="1"/>
  <c r="F18" i="10"/>
  <c r="E18" i="10" s="1"/>
  <c r="F4" i="10"/>
  <c r="E5" i="10"/>
  <c r="D6" i="10" s="1"/>
  <c r="I1" i="10"/>
  <c r="B4" i="10" s="1"/>
  <c r="D4" i="10"/>
  <c r="D5" i="9" l="1"/>
  <c r="B5" i="10"/>
  <c r="B6" i="10" s="1"/>
  <c r="F5" i="10"/>
  <c r="F10" i="8"/>
  <c r="F22" i="8" s="1"/>
  <c r="F9" i="8"/>
  <c r="F21" i="8" s="1"/>
  <c r="F10" i="7"/>
  <c r="F22" i="7" s="1"/>
  <c r="F9" i="7"/>
  <c r="F17" i="7" s="1"/>
  <c r="F21" i="7" l="1"/>
  <c r="B7" i="10"/>
  <c r="B8" i="10" s="1"/>
  <c r="E13" i="9" s="1"/>
  <c r="F17" i="8"/>
  <c r="F18" i="8"/>
  <c r="F18" i="7"/>
  <c r="E29" i="6"/>
  <c r="E28" i="6"/>
  <c r="E27" i="6"/>
  <c r="E26" i="6"/>
  <c r="E25" i="6"/>
  <c r="E24" i="6"/>
  <c r="E23" i="6"/>
  <c r="F20" i="6"/>
  <c r="F47" i="6" s="1"/>
  <c r="E47" i="6" s="1"/>
  <c r="F19" i="6"/>
  <c r="F37" i="6" s="1"/>
  <c r="E37" i="6" s="1"/>
  <c r="F18" i="6"/>
  <c r="E18" i="6" s="1"/>
  <c r="F17" i="6"/>
  <c r="E17" i="6" s="1"/>
  <c r="F16" i="6"/>
  <c r="F43" i="6" s="1"/>
  <c r="E43" i="6" s="1"/>
  <c r="E16" i="6"/>
  <c r="F15" i="6"/>
  <c r="F33" i="6" s="1"/>
  <c r="E33" i="6" s="1"/>
  <c r="F14" i="6"/>
  <c r="E14" i="6" s="1"/>
  <c r="F44" i="6" l="1"/>
  <c r="E44" i="6" s="1"/>
  <c r="F38" i="6"/>
  <c r="E38" i="6" s="1"/>
  <c r="E15" i="6"/>
  <c r="F34" i="6"/>
  <c r="E34" i="6" s="1"/>
  <c r="E19" i="6"/>
  <c r="E20" i="6"/>
  <c r="F35" i="6"/>
  <c r="E35" i="6" s="1"/>
  <c r="F41" i="6"/>
  <c r="E41" i="6" s="1"/>
  <c r="F45" i="6"/>
  <c r="E45" i="6" s="1"/>
  <c r="F32" i="6"/>
  <c r="E32" i="6" s="1"/>
  <c r="F36" i="6"/>
  <c r="E36" i="6" s="1"/>
  <c r="F42" i="6"/>
  <c r="E42" i="6" s="1"/>
  <c r="F46" i="6"/>
  <c r="E46" i="6" s="1"/>
  <c r="E22" i="7" l="1"/>
  <c r="E21" i="7"/>
  <c r="E18" i="7"/>
  <c r="E17" i="7"/>
  <c r="E14" i="7"/>
  <c r="E13" i="7"/>
  <c r="E10" i="7"/>
  <c r="E9" i="7"/>
  <c r="E22" i="8"/>
  <c r="E21" i="8"/>
  <c r="E18" i="8"/>
  <c r="E17" i="8"/>
  <c r="E14" i="8"/>
  <c r="E13" i="8"/>
  <c r="E10" i="8"/>
  <c r="E9" i="8"/>
  <c r="B10" i="8" l="1"/>
  <c r="F4" i="8" s="1"/>
  <c r="B10" i="7"/>
  <c r="B10" i="6"/>
  <c r="F12" i="3"/>
  <c r="F26" i="3" s="1"/>
  <c r="P2" i="8"/>
  <c r="O2" i="8"/>
  <c r="N2" i="8"/>
  <c r="M2" i="8"/>
  <c r="L2" i="8"/>
  <c r="J2" i="8"/>
  <c r="P2" i="7"/>
  <c r="O2" i="7"/>
  <c r="N2" i="7"/>
  <c r="M2" i="7"/>
  <c r="L2" i="7"/>
  <c r="J2" i="7"/>
  <c r="P2" i="6"/>
  <c r="O2" i="6"/>
  <c r="N2" i="6"/>
  <c r="M2" i="6"/>
  <c r="L2" i="6"/>
  <c r="J2" i="6"/>
  <c r="T2" i="3"/>
  <c r="H17" i="3" s="1"/>
  <c r="S2" i="3"/>
  <c r="R2" i="3"/>
  <c r="Q2" i="3"/>
  <c r="P2" i="3"/>
  <c r="N2" i="3"/>
  <c r="F13" i="3"/>
  <c r="F27" i="3" s="1"/>
  <c r="F14" i="3"/>
  <c r="F35" i="3" s="1"/>
  <c r="F15" i="3"/>
  <c r="F36" i="3" s="1"/>
  <c r="F16" i="3"/>
  <c r="F37" i="3" s="1"/>
  <c r="B10" i="3"/>
  <c r="L2" i="3" s="1"/>
  <c r="B3" i="1"/>
  <c r="B10" i="1"/>
  <c r="T10" i="1"/>
  <c r="S10" i="1"/>
  <c r="R10" i="1"/>
  <c r="Q10" i="1"/>
  <c r="P10" i="1"/>
  <c r="T9" i="1"/>
  <c r="S9" i="1"/>
  <c r="R9" i="1"/>
  <c r="Q9" i="1"/>
  <c r="P9" i="1"/>
  <c r="T8" i="1"/>
  <c r="S8" i="1"/>
  <c r="R8" i="1"/>
  <c r="Q8" i="1"/>
  <c r="P8" i="1"/>
  <c r="T7" i="1"/>
  <c r="S7" i="1"/>
  <c r="R7" i="1"/>
  <c r="Q7" i="1"/>
  <c r="P7" i="1"/>
  <c r="T6" i="1"/>
  <c r="S6" i="1"/>
  <c r="R6" i="1"/>
  <c r="Q6" i="1"/>
  <c r="P6" i="1"/>
  <c r="T5" i="1"/>
  <c r="S5" i="1"/>
  <c r="R5" i="1"/>
  <c r="Q5" i="1"/>
  <c r="P5" i="1"/>
  <c r="T4" i="1"/>
  <c r="S4" i="1"/>
  <c r="R4" i="1"/>
  <c r="Q4" i="1"/>
  <c r="P4" i="1"/>
  <c r="T3" i="1"/>
  <c r="S3" i="1"/>
  <c r="R3" i="1"/>
  <c r="Q3" i="1"/>
  <c r="P3" i="1"/>
  <c r="T2" i="1"/>
  <c r="S2" i="1"/>
  <c r="R2" i="1"/>
  <c r="H15" i="1" s="1"/>
  <c r="Q2" i="1"/>
  <c r="P2" i="1"/>
  <c r="N10" i="1"/>
  <c r="N9" i="1"/>
  <c r="N8" i="1"/>
  <c r="N7" i="1"/>
  <c r="N6" i="1"/>
  <c r="N5" i="1"/>
  <c r="N4" i="1"/>
  <c r="N3" i="1"/>
  <c r="N2" i="1"/>
  <c r="R3" i="4"/>
  <c r="R4" i="4"/>
  <c r="R5" i="4"/>
  <c r="R6" i="4"/>
  <c r="R7" i="4"/>
  <c r="R8" i="4"/>
  <c r="R9" i="4"/>
  <c r="R10" i="4"/>
  <c r="Q3" i="4"/>
  <c r="Q4" i="4"/>
  <c r="Q5" i="4"/>
  <c r="Q6" i="4"/>
  <c r="Q7" i="4"/>
  <c r="Q8" i="4"/>
  <c r="Q9" i="4"/>
  <c r="Q10" i="4"/>
  <c r="P3" i="4"/>
  <c r="P4" i="4"/>
  <c r="P5" i="4"/>
  <c r="P6" i="4"/>
  <c r="P7" i="4"/>
  <c r="P8" i="4"/>
  <c r="P9" i="4"/>
  <c r="P10" i="4"/>
  <c r="O3" i="4"/>
  <c r="O4" i="4"/>
  <c r="O5" i="4"/>
  <c r="O6" i="4"/>
  <c r="O7" i="4"/>
  <c r="O8" i="4"/>
  <c r="O9" i="4"/>
  <c r="O10" i="4"/>
  <c r="N3" i="4"/>
  <c r="N4" i="4"/>
  <c r="N5" i="4"/>
  <c r="N6" i="4"/>
  <c r="N7" i="4"/>
  <c r="N8" i="4"/>
  <c r="N9" i="4"/>
  <c r="N10" i="4"/>
  <c r="L3" i="4"/>
  <c r="L4" i="4"/>
  <c r="L5" i="4"/>
  <c r="L6" i="4"/>
  <c r="L7" i="4"/>
  <c r="L8" i="4"/>
  <c r="L9" i="4"/>
  <c r="L10" i="4"/>
  <c r="R2" i="4"/>
  <c r="Q2" i="4"/>
  <c r="P2" i="4"/>
  <c r="O2" i="4"/>
  <c r="N2" i="4"/>
  <c r="L2" i="4"/>
  <c r="E29" i="4"/>
  <c r="B10" i="4"/>
  <c r="F33" i="3" l="1"/>
  <c r="E33" i="3" s="1"/>
  <c r="F30" i="3"/>
  <c r="F34" i="3"/>
  <c r="F29" i="3"/>
  <c r="E29" i="3" s="1"/>
  <c r="F28" i="3"/>
  <c r="E28" i="3" s="1"/>
  <c r="E13" i="4"/>
  <c r="E12" i="3"/>
  <c r="D4" i="7"/>
  <c r="F4" i="7"/>
  <c r="I1" i="6"/>
  <c r="B4" i="6" s="1"/>
  <c r="F4" i="6"/>
  <c r="E4" i="8"/>
  <c r="D4" i="8"/>
  <c r="E5" i="7"/>
  <c r="E4" i="7"/>
  <c r="I1" i="8"/>
  <c r="B4" i="8" s="1"/>
  <c r="E5" i="8"/>
  <c r="I1" i="7"/>
  <c r="B4" i="7" s="1"/>
  <c r="E9" i="6"/>
  <c r="D10" i="6" s="1"/>
  <c r="E4" i="6"/>
  <c r="D4" i="6" s="1"/>
  <c r="E8" i="6"/>
  <c r="E5" i="6"/>
  <c r="D6" i="6" s="1"/>
  <c r="E6" i="6"/>
  <c r="D7" i="6" s="1"/>
  <c r="E10" i="6"/>
  <c r="D11" i="6" s="1"/>
  <c r="E7" i="6"/>
  <c r="H16" i="1"/>
  <c r="H11" i="4"/>
  <c r="E18" i="4"/>
  <c r="E5" i="4" s="1"/>
  <c r="D6" i="4" s="1"/>
  <c r="E28" i="4"/>
  <c r="H17" i="4"/>
  <c r="E14" i="1"/>
  <c r="E28" i="1"/>
  <c r="E29" i="1"/>
  <c r="E14" i="3"/>
  <c r="H11" i="3"/>
  <c r="B2" i="4"/>
  <c r="I1" i="4" s="1"/>
  <c r="E22" i="4"/>
  <c r="H13" i="4"/>
  <c r="E18" i="1"/>
  <c r="E12" i="1"/>
  <c r="B2" i="1"/>
  <c r="L2" i="1" s="1"/>
  <c r="E16" i="3"/>
  <c r="E37" i="3"/>
  <c r="H12" i="3"/>
  <c r="E30" i="3"/>
  <c r="E19" i="4"/>
  <c r="E36" i="3"/>
  <c r="H14" i="4"/>
  <c r="E22" i="1"/>
  <c r="H12" i="1"/>
  <c r="E23" i="3"/>
  <c r="E35" i="3"/>
  <c r="H14" i="3"/>
  <c r="H12" i="4"/>
  <c r="E17" i="1"/>
  <c r="H17" i="1"/>
  <c r="E23" i="4"/>
  <c r="H15" i="4"/>
  <c r="E19" i="1"/>
  <c r="H11" i="1"/>
  <c r="E15" i="3"/>
  <c r="H13" i="3"/>
  <c r="E24" i="4"/>
  <c r="E14" i="4"/>
  <c r="E27" i="4"/>
  <c r="H16" i="4"/>
  <c r="E23" i="1"/>
  <c r="H13" i="1"/>
  <c r="E19" i="3"/>
  <c r="E4" i="3" s="1"/>
  <c r="D5" i="3" s="1"/>
  <c r="E22" i="3"/>
  <c r="E34" i="3"/>
  <c r="H15" i="3"/>
  <c r="E24" i="1"/>
  <c r="H14" i="1"/>
  <c r="E13" i="3"/>
  <c r="E21" i="3"/>
  <c r="H16" i="3"/>
  <c r="E17" i="4"/>
  <c r="E13" i="1"/>
  <c r="E27" i="1"/>
  <c r="E20" i="3"/>
  <c r="E26" i="3"/>
  <c r="E27" i="3"/>
  <c r="E4" i="1" l="1"/>
  <c r="D5" i="1" s="1"/>
  <c r="E4" i="4"/>
  <c r="D5" i="4" s="1"/>
  <c r="I2" i="4"/>
  <c r="B4" i="4" s="1"/>
  <c r="F5" i="8"/>
  <c r="F5" i="7"/>
  <c r="D5" i="8"/>
  <c r="D6" i="8"/>
  <c r="D5" i="7"/>
  <c r="F9" i="6"/>
  <c r="D6" i="7"/>
  <c r="F8" i="6"/>
  <c r="D9" i="6"/>
  <c r="D5" i="6"/>
  <c r="F5" i="6"/>
  <c r="D8" i="6"/>
  <c r="F7" i="6"/>
  <c r="F10" i="6"/>
  <c r="F6" i="6"/>
  <c r="L3" i="1"/>
  <c r="B4" i="1" s="1"/>
  <c r="E5" i="3"/>
  <c r="D6" i="3" s="1"/>
  <c r="E5" i="1"/>
  <c r="D6" i="1" s="1"/>
  <c r="L3" i="3"/>
  <c r="B4" i="3" s="1"/>
  <c r="E6" i="4"/>
  <c r="D7" i="4" s="1"/>
  <c r="E8" i="3"/>
  <c r="D9" i="3" s="1"/>
  <c r="E6" i="3"/>
  <c r="D7" i="3" s="1"/>
  <c r="F4" i="3"/>
  <c r="E6" i="1"/>
  <c r="E7" i="3"/>
  <c r="D8" i="3" s="1"/>
  <c r="D14" i="9"/>
  <c r="D13" i="9"/>
  <c r="D12" i="9"/>
  <c r="B3" i="3"/>
  <c r="B3" i="4"/>
  <c r="B3" i="8"/>
  <c r="B5" i="8" s="1"/>
  <c r="B3" i="7"/>
  <c r="B5" i="7" s="1"/>
  <c r="B3" i="6"/>
  <c r="F4" i="1" l="1"/>
  <c r="F5" i="4"/>
  <c r="F4" i="4"/>
  <c r="B5" i="4"/>
  <c r="B6" i="4" s="1"/>
  <c r="B7" i="4" s="1"/>
  <c r="B8" i="4" s="1"/>
  <c r="F6" i="4"/>
  <c r="B6" i="8"/>
  <c r="B7" i="8" s="1"/>
  <c r="B8" i="8" s="1"/>
  <c r="E14" i="9" s="1"/>
  <c r="F5" i="1"/>
  <c r="F6" i="1"/>
  <c r="D7" i="1"/>
  <c r="B5" i="3"/>
  <c r="J8" i="1"/>
  <c r="I8" i="1" s="1"/>
  <c r="H8" i="1" s="1"/>
  <c r="B5" i="6"/>
  <c r="B6" i="6" s="1"/>
  <c r="B7" i="6" s="1"/>
  <c r="B8" i="6" s="1"/>
  <c r="E12" i="9" s="1"/>
  <c r="J9" i="1"/>
  <c r="I9" i="1" s="1"/>
  <c r="H9" i="1" s="1"/>
  <c r="J10" i="1" l="1"/>
  <c r="G5" i="1" l="1"/>
  <c r="I10" i="1"/>
  <c r="H10" i="1" s="1"/>
  <c r="G6" i="1" s="1"/>
  <c r="G4" i="1"/>
  <c r="B5" i="1" l="1"/>
  <c r="B6" i="1" s="1"/>
  <c r="B7" i="1" l="1"/>
  <c r="B8" i="1" s="1"/>
  <c r="F11" i="9" s="1"/>
  <c r="F8" i="3"/>
  <c r="F7" i="3"/>
  <c r="F6" i="3"/>
  <c r="F5" i="3"/>
  <c r="B6" i="3"/>
  <c r="H9" i="9" l="1"/>
  <c r="C7" i="9" s="1"/>
  <c r="B7" i="3"/>
  <c r="B8" i="3" s="1"/>
  <c r="E11" i="9" s="1"/>
  <c r="E5" i="9" s="1"/>
  <c r="E6" i="9" l="1"/>
  <c r="E7" i="9"/>
  <c r="F5" i="9"/>
  <c r="C5" i="9"/>
  <c r="C6" i="9"/>
  <c r="D6" i="9"/>
  <c r="B6" i="7"/>
  <c r="D7" i="9" l="1"/>
  <c r="F6" i="9"/>
  <c r="B7" i="7"/>
  <c r="B8" i="7" s="1"/>
  <c r="F7" i="9" l="1"/>
</calcChain>
</file>

<file path=xl/sharedStrings.xml><?xml version="1.0" encoding="utf-8"?>
<sst xmlns="http://schemas.openxmlformats.org/spreadsheetml/2006/main" count="213" uniqueCount="53">
  <si>
    <t>新料金計算結果</t>
    <rPh sb="0" eb="3">
      <t>シンリョウキン</t>
    </rPh>
    <rPh sb="3" eb="5">
      <t>ケイサン</t>
    </rPh>
    <rPh sb="5" eb="7">
      <t>ケッカ</t>
    </rPh>
    <phoneticPr fontId="3"/>
  </si>
  <si>
    <t>口径</t>
    <rPh sb="0" eb="2">
      <t>コウケイ</t>
    </rPh>
    <phoneticPr fontId="1"/>
  </si>
  <si>
    <t>口径</t>
    <rPh sb="0" eb="2">
      <t>コウケイ</t>
    </rPh>
    <phoneticPr fontId="3"/>
  </si>
  <si>
    <t>水量区分</t>
    <rPh sb="0" eb="2">
      <t>スイリョウ</t>
    </rPh>
    <rPh sb="2" eb="4">
      <t>クブン</t>
    </rPh>
    <phoneticPr fontId="3"/>
  </si>
  <si>
    <t>単価</t>
    <rPh sb="0" eb="2">
      <t>タンカ</t>
    </rPh>
    <phoneticPr fontId="3"/>
  </si>
  <si>
    <t>基本料金（円）</t>
    <rPh sb="0" eb="2">
      <t>キホン</t>
    </rPh>
    <rPh sb="2" eb="4">
      <t>リョウキン</t>
    </rPh>
    <rPh sb="5" eb="6">
      <t>エン</t>
    </rPh>
    <phoneticPr fontId="1"/>
  </si>
  <si>
    <t>使用水量</t>
    <rPh sb="0" eb="2">
      <t>シヨウ</t>
    </rPh>
    <rPh sb="2" eb="4">
      <t>スイリョウ</t>
    </rPh>
    <phoneticPr fontId="3"/>
  </si>
  <si>
    <t>小</t>
    <rPh sb="0" eb="1">
      <t>ショウ</t>
    </rPh>
    <phoneticPr fontId="3"/>
  </si>
  <si>
    <t>大</t>
    <rPh sb="0" eb="1">
      <t>ダイ</t>
    </rPh>
    <phoneticPr fontId="3"/>
  </si>
  <si>
    <t>幅</t>
    <rPh sb="0" eb="1">
      <t>ハバ</t>
    </rPh>
    <phoneticPr fontId="3"/>
  </si>
  <si>
    <t>基本料金</t>
    <rPh sb="0" eb="2">
      <t>キホン</t>
    </rPh>
    <rPh sb="2" eb="4">
      <t>リョウキン</t>
    </rPh>
    <phoneticPr fontId="3"/>
  </si>
  <si>
    <t>水量料金</t>
    <rPh sb="0" eb="2">
      <t>スイリョウ</t>
    </rPh>
    <rPh sb="2" eb="4">
      <t>リョウキン</t>
    </rPh>
    <phoneticPr fontId="3"/>
  </si>
  <si>
    <t>消費税</t>
    <rPh sb="0" eb="3">
      <t>ショウヒゼイ</t>
    </rPh>
    <phoneticPr fontId="3"/>
  </si>
  <si>
    <t>税込</t>
    <rPh sb="0" eb="2">
      <t>ゼイコミ</t>
    </rPh>
    <phoneticPr fontId="3"/>
  </si>
  <si>
    <t>現行計算結果</t>
    <rPh sb="0" eb="2">
      <t>ゲンコウ</t>
    </rPh>
    <rPh sb="2" eb="4">
      <t>ケイサン</t>
    </rPh>
    <rPh sb="4" eb="6">
      <t>ケッカ</t>
    </rPh>
    <phoneticPr fontId="3"/>
  </si>
  <si>
    <t>水道料金</t>
    <rPh sb="0" eb="2">
      <t>スイドウ</t>
    </rPh>
    <rPh sb="2" eb="4">
      <t>リョウキン</t>
    </rPh>
    <phoneticPr fontId="3"/>
  </si>
  <si>
    <t>中央市（旧玉穂地区）</t>
    <rPh sb="0" eb="3">
      <t>チュウオウシ</t>
    </rPh>
    <rPh sb="4" eb="5">
      <t>キュウ</t>
    </rPh>
    <rPh sb="5" eb="7">
      <t>タマホ</t>
    </rPh>
    <rPh sb="7" eb="9">
      <t>チク</t>
    </rPh>
    <phoneticPr fontId="3"/>
  </si>
  <si>
    <t>下水道使用料</t>
    <rPh sb="0" eb="3">
      <t>ゲスイドウ</t>
    </rPh>
    <rPh sb="3" eb="6">
      <t>シヨウリョウ</t>
    </rPh>
    <phoneticPr fontId="3"/>
  </si>
  <si>
    <t>合計（税込）</t>
    <rPh sb="0" eb="2">
      <t>ゴウケイ</t>
    </rPh>
    <rPh sb="3" eb="5">
      <t>ゼイコ</t>
    </rPh>
    <phoneticPr fontId="3"/>
  </si>
  <si>
    <t>甲府市</t>
    <rPh sb="0" eb="3">
      <t>コウフシ</t>
    </rPh>
    <phoneticPr fontId="3"/>
  </si>
  <si>
    <t>甲斐市（旧敷島地区）</t>
    <rPh sb="0" eb="3">
      <t>カイシ</t>
    </rPh>
    <rPh sb="4" eb="5">
      <t>キュウ</t>
    </rPh>
    <rPh sb="5" eb="7">
      <t>シキシマ</t>
    </rPh>
    <rPh sb="7" eb="9">
      <t>チク</t>
    </rPh>
    <phoneticPr fontId="3"/>
  </si>
  <si>
    <t>昭和町</t>
    <rPh sb="0" eb="3">
      <t>ショウワチョウ</t>
    </rPh>
    <phoneticPr fontId="3"/>
  </si>
  <si>
    <t>以上</t>
    <rPh sb="0" eb="2">
      <t>イジョウ</t>
    </rPh>
    <phoneticPr fontId="3"/>
  </si>
  <si>
    <t xml:space="preserve"> </t>
    <phoneticPr fontId="3"/>
  </si>
  <si>
    <t>昭和町</t>
    <rPh sb="0" eb="3">
      <t>ショウワチョウ</t>
    </rPh>
    <phoneticPr fontId="3"/>
  </si>
  <si>
    <t>中央市</t>
    <rPh sb="0" eb="3">
      <t>チュウオウシ</t>
    </rPh>
    <phoneticPr fontId="3"/>
  </si>
  <si>
    <t>甲斐市（改定後）</t>
    <rPh sb="0" eb="3">
      <t>カイシ</t>
    </rPh>
    <rPh sb="4" eb="6">
      <t>カイテイ</t>
    </rPh>
    <rPh sb="6" eb="7">
      <t>ゴ</t>
    </rPh>
    <phoneticPr fontId="3"/>
  </si>
  <si>
    <t>甲府下水</t>
    <rPh sb="0" eb="2">
      <t>コウフ</t>
    </rPh>
    <rPh sb="2" eb="4">
      <t>ゲスイ</t>
    </rPh>
    <phoneticPr fontId="3"/>
  </si>
  <si>
    <t>水道料金改定後</t>
    <rPh sb="0" eb="2">
      <t>スイドウ</t>
    </rPh>
    <rPh sb="2" eb="4">
      <t>リョウキン</t>
    </rPh>
    <rPh sb="4" eb="6">
      <t>カイテイ</t>
    </rPh>
    <rPh sb="6" eb="7">
      <t>ゴ</t>
    </rPh>
    <phoneticPr fontId="3"/>
  </si>
  <si>
    <t>水道料金改定前</t>
    <rPh sb="0" eb="4">
      <t>スイドウリョウキン</t>
    </rPh>
    <rPh sb="4" eb="6">
      <t>カイテイ</t>
    </rPh>
    <rPh sb="6" eb="7">
      <t>マエ</t>
    </rPh>
    <phoneticPr fontId="3"/>
  </si>
  <si>
    <t>（下水道使用料については、地域選択ごとにそれぞれの市・町の下水道使用料の料金計算をします）</t>
    <rPh sb="1" eb="7">
      <t>ゲスイドウシヨウリョウ</t>
    </rPh>
    <rPh sb="13" eb="15">
      <t>チイキ</t>
    </rPh>
    <rPh sb="15" eb="17">
      <t>センタク</t>
    </rPh>
    <rPh sb="25" eb="26">
      <t>シ</t>
    </rPh>
    <rPh sb="27" eb="28">
      <t>マチ</t>
    </rPh>
    <rPh sb="29" eb="35">
      <t>ゲスイドウシヨウリョウ</t>
    </rPh>
    <rPh sb="36" eb="38">
      <t>リョウキン</t>
    </rPh>
    <rPh sb="38" eb="40">
      <t>ケイサン</t>
    </rPh>
    <phoneticPr fontId="3"/>
  </si>
  <si>
    <t>（注2）下水道を使用していない場合、水道料金のみご確認ください。</t>
    <rPh sb="1" eb="2">
      <t>チュウ</t>
    </rPh>
    <rPh sb="4" eb="7">
      <t>ゲスイドウ</t>
    </rPh>
    <rPh sb="8" eb="10">
      <t>シヨウ</t>
    </rPh>
    <rPh sb="15" eb="17">
      <t>バアイ</t>
    </rPh>
    <rPh sb="18" eb="20">
      <t>スイドウ</t>
    </rPh>
    <rPh sb="20" eb="22">
      <t>リョウキン</t>
    </rPh>
    <rPh sb="25" eb="27">
      <t>カクニン</t>
    </rPh>
    <phoneticPr fontId="3"/>
  </si>
  <si>
    <t>月数</t>
    <rPh sb="0" eb="2">
      <t>ツキスウ</t>
    </rPh>
    <phoneticPr fontId="3"/>
  </si>
  <si>
    <t>3.5～</t>
    <phoneticPr fontId="3"/>
  </si>
  <si>
    <t>2.5～3.0</t>
    <phoneticPr fontId="3"/>
  </si>
  <si>
    <t>1.5～2.0</t>
    <phoneticPr fontId="3"/>
  </si>
  <si>
    <t>0.5～1.0</t>
    <phoneticPr fontId="3"/>
  </si>
  <si>
    <t>連合</t>
    <rPh sb="0" eb="2">
      <t>レンゴウ</t>
    </rPh>
    <phoneticPr fontId="3"/>
  </si>
  <si>
    <t>合計</t>
    <rPh sb="0" eb="2">
      <t>ゴウケイ</t>
    </rPh>
    <phoneticPr fontId="3"/>
  </si>
  <si>
    <t>現行水量料金表（円）</t>
    <rPh sb="0" eb="2">
      <t>ゲンコウ</t>
    </rPh>
    <rPh sb="2" eb="4">
      <t>スイリョウ</t>
    </rPh>
    <rPh sb="4" eb="6">
      <t>リョウキン</t>
    </rPh>
    <rPh sb="6" eb="7">
      <t>ヒョウ</t>
    </rPh>
    <rPh sb="8" eb="9">
      <t>エン</t>
    </rPh>
    <phoneticPr fontId="3"/>
  </si>
  <si>
    <t>新水量料金表（円）</t>
    <rPh sb="0" eb="1">
      <t>シン</t>
    </rPh>
    <rPh sb="1" eb="3">
      <t>スイリョウ</t>
    </rPh>
    <rPh sb="3" eb="5">
      <t>リョウキン</t>
    </rPh>
    <rPh sb="5" eb="6">
      <t>ヒョウ</t>
    </rPh>
    <rPh sb="7" eb="8">
      <t>エン</t>
    </rPh>
    <phoneticPr fontId="3"/>
  </si>
  <si>
    <t>計算結果</t>
    <rPh sb="0" eb="2">
      <t>ケイサン</t>
    </rPh>
    <rPh sb="2" eb="4">
      <t>ケッカ</t>
    </rPh>
    <phoneticPr fontId="3"/>
  </si>
  <si>
    <t>②地域選択：</t>
    <rPh sb="1" eb="3">
      <t>チイキ</t>
    </rPh>
    <rPh sb="3" eb="5">
      <t>センタク</t>
    </rPh>
    <phoneticPr fontId="3"/>
  </si>
  <si>
    <t>③メーター口径選択：</t>
    <rPh sb="5" eb="7">
      <t>コウケイ</t>
    </rPh>
    <rPh sb="7" eb="9">
      <t>センタク</t>
    </rPh>
    <phoneticPr fontId="3"/>
  </si>
  <si>
    <t>④使用水量入力：</t>
    <rPh sb="1" eb="3">
      <t>シヨウ</t>
    </rPh>
    <rPh sb="3" eb="5">
      <t>スイリョウ</t>
    </rPh>
    <rPh sb="5" eb="7">
      <t>ニュウリョク</t>
    </rPh>
    <phoneticPr fontId="3"/>
  </si>
  <si>
    <t>①月数選択：</t>
    <rPh sb="1" eb="3">
      <t>ツキスウ</t>
    </rPh>
    <rPh sb="3" eb="5">
      <t>センタク</t>
    </rPh>
    <phoneticPr fontId="3"/>
  </si>
  <si>
    <t>基本料金減額版</t>
    <rPh sb="0" eb="6">
      <t>キホンリョウキンゲンガク</t>
    </rPh>
    <rPh sb="6" eb="7">
      <t>バン</t>
    </rPh>
    <phoneticPr fontId="3"/>
  </si>
  <si>
    <t>下水道地区別計算</t>
    <rPh sb="0" eb="3">
      <t>ゲスイドウ</t>
    </rPh>
    <rPh sb="3" eb="5">
      <t>チク</t>
    </rPh>
    <rPh sb="5" eb="6">
      <t>ベツ</t>
    </rPh>
    <rPh sb="6" eb="8">
      <t>ケイサン</t>
    </rPh>
    <phoneticPr fontId="3"/>
  </si>
  <si>
    <t>水道減額前</t>
    <rPh sb="0" eb="2">
      <t>スイドウ</t>
    </rPh>
    <rPh sb="2" eb="4">
      <t>ゲンガク</t>
    </rPh>
    <rPh sb="4" eb="5">
      <t>マエ</t>
    </rPh>
    <phoneticPr fontId="3"/>
  </si>
  <si>
    <t>※使用水量未入力時は0㎥で計算します。</t>
    <phoneticPr fontId="3"/>
  </si>
  <si>
    <t>（注3）共同住宅（連合使用制度）等、特別な料金計算が必要な方は、この料金計算結果とは異なります。</t>
    <rPh sb="1" eb="2">
      <t>チュウ</t>
    </rPh>
    <rPh sb="4" eb="8">
      <t>キョウドウジュウタク</t>
    </rPh>
    <rPh sb="9" eb="11">
      <t>レンゴウ</t>
    </rPh>
    <rPh sb="11" eb="13">
      <t>シヨウ</t>
    </rPh>
    <rPh sb="13" eb="15">
      <t>セイド</t>
    </rPh>
    <rPh sb="16" eb="17">
      <t>トウ</t>
    </rPh>
    <rPh sb="18" eb="20">
      <t>トクベツ</t>
    </rPh>
    <rPh sb="21" eb="25">
      <t>リョウキンケイサン</t>
    </rPh>
    <rPh sb="26" eb="28">
      <t>ヒツヨウ</t>
    </rPh>
    <rPh sb="29" eb="30">
      <t>カタ</t>
    </rPh>
    <rPh sb="34" eb="36">
      <t>リョウキン</t>
    </rPh>
    <rPh sb="36" eb="38">
      <t>ケイサン</t>
    </rPh>
    <rPh sb="38" eb="40">
      <t>ケッカ</t>
    </rPh>
    <rPh sb="42" eb="43">
      <t>コト</t>
    </rPh>
    <phoneticPr fontId="3"/>
  </si>
  <si>
    <r>
      <t>水道料金・下水道使用料　料金計算ツール　　</t>
    </r>
    <r>
      <rPr>
        <sz val="10"/>
        <color theme="1"/>
        <rFont val="Meiryo UI"/>
        <family val="3"/>
        <charset val="128"/>
      </rPr>
      <t>(令和8年2月時点)　※水道料金の基本料金減額版</t>
    </r>
    <rPh sb="0" eb="2">
      <t>スイドウ</t>
    </rPh>
    <rPh sb="2" eb="4">
      <t>リョウキン</t>
    </rPh>
    <rPh sb="5" eb="11">
      <t>ゲスイドウシヨウリョウ</t>
    </rPh>
    <rPh sb="12" eb="16">
      <t>リョウキンケイサン</t>
    </rPh>
    <rPh sb="22" eb="24">
      <t>レイワ</t>
    </rPh>
    <rPh sb="25" eb="26">
      <t>ネン</t>
    </rPh>
    <rPh sb="27" eb="28">
      <t>ガツ</t>
    </rPh>
    <rPh sb="28" eb="30">
      <t>ジテン</t>
    </rPh>
    <rPh sb="33" eb="35">
      <t>スイドウ</t>
    </rPh>
    <rPh sb="35" eb="37">
      <t>リョウキン</t>
    </rPh>
    <rPh sb="38" eb="40">
      <t>キホン</t>
    </rPh>
    <rPh sb="40" eb="42">
      <t>リョウキン</t>
    </rPh>
    <rPh sb="42" eb="44">
      <t>ゲンガク</t>
    </rPh>
    <rPh sb="44" eb="45">
      <t>バン</t>
    </rPh>
    <phoneticPr fontId="3"/>
  </si>
  <si>
    <t>（注1）月数について…通常は2.0月を選択してください。（転居等の場合は月数を変更してください。）</t>
    <rPh sb="1" eb="2">
      <t>チュウ</t>
    </rPh>
    <rPh sb="4" eb="6">
      <t>ツキスウ</t>
    </rPh>
    <rPh sb="11" eb="13">
      <t>ツウジョウ</t>
    </rPh>
    <rPh sb="17" eb="18">
      <t>ツキ</t>
    </rPh>
    <rPh sb="19" eb="21">
      <t>センタク</t>
    </rPh>
    <rPh sb="29" eb="31">
      <t>テンキョ</t>
    </rPh>
    <rPh sb="31" eb="32">
      <t>トウ</t>
    </rPh>
    <rPh sb="33" eb="35">
      <t>バアイ</t>
    </rPh>
    <rPh sb="36" eb="38">
      <t>ツキスウ</t>
    </rPh>
    <rPh sb="39" eb="41">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</si>
</sst>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mm&quot;"/>
    <numFmt numFmtId="177" formatCode="#,###&quot;㎥&quot;"/>
    <numFmt numFmtId="178" formatCode="##,##0&quot;㎥&quot;"/>
    <numFmt numFmtId="179" formatCode="0.0"/>
    <numFmt numFmtId="180" formatCode="##,##0.0&quot;月&quot;"/>
    <numFmt numFmtId="181" formatCode="#,##0.0;[Red]\-#,##0.0"/>
    <numFmt numFmtId="182" formatCode="0_);[Red]\(0\)"/>
  </numFmts>
  <fonts count="14"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12"/>
      <color rgb="FF002060"/>
      <name val="游ゴシック"/>
      <family val="3"/>
      <charset val="128"/>
      <scheme val="minor"/>
    </font>
    <font>
      <sz val="11"/>
      <color theme="9" tint="-0.499984740745262"/>
      <name val="游ゴシック"/>
      <family val="3"/>
      <charset val="128"/>
      <scheme val="minor"/>
    </font>
    <font>
      <sz val="12"/>
      <color theme="1"/>
      <name val="Meiryo UI"/>
      <family val="3"/>
      <charset val="128"/>
    </font>
    <font>
      <sz val="12"/>
      <name val="Meiryo UI"/>
      <family val="3"/>
      <charset val="128"/>
    </font>
    <font>
      <sz val="12"/>
      <color rgb="FFFF0000"/>
      <name val="Meiryo UI"/>
      <family val="3"/>
      <charset val="128"/>
    </font>
    <font>
      <sz val="10"/>
      <color theme="1"/>
      <name val="Meiryo UI"/>
      <family val="3"/>
      <charset val="128"/>
    </font>
    <font>
      <sz val="16"/>
      <color theme="1"/>
      <name val="Meiryo UI"/>
      <family val="3"/>
      <charset val="128"/>
    </font>
    <font>
      <b/>
      <sz val="12"/>
      <color theme="1"/>
      <name val="Meiryo UI"/>
      <family val="3"/>
      <charset val="128"/>
    </font>
    <font>
      <b/>
      <sz val="12"/>
      <name val="Meiryo UI"/>
      <family val="3"/>
      <charset val="128"/>
    </font>
  </fonts>
  <fills count="6">
    <fill>
      <patternFill patternType="none"/>
    </fill>
    <fill>
      <patternFill patternType="gray125"/>
    </fill>
    <fill>
      <patternFill patternType="solid">
        <fgColor rgb="FFCCFF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s>
  <borders count="2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double">
        <color auto="1"/>
      </right>
      <top style="medium">
        <color indexed="64"/>
      </top>
      <bottom style="double">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auto="1"/>
      </bottom>
      <diagonal/>
    </border>
    <border>
      <left style="thin">
        <color auto="1"/>
      </left>
      <right style="thin">
        <color auto="1"/>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7" fillId="0" borderId="0" xfId="0" applyFont="1" applyAlignment="1">
      <alignment horizontal="right" vertical="center"/>
    </xf>
    <xf numFmtId="0" fontId="7" fillId="0" borderId="0" xfId="0" applyFont="1">
      <alignment vertical="center"/>
    </xf>
    <xf numFmtId="0" fontId="7" fillId="0" borderId="0" xfId="0" applyFont="1" applyProtection="1">
      <alignment vertical="center"/>
      <protection hidden="1"/>
    </xf>
    <xf numFmtId="176" fontId="7" fillId="0" borderId="0" xfId="0" applyNumberFormat="1" applyFont="1" applyProtection="1">
      <alignment vertical="center"/>
      <protection hidden="1"/>
    </xf>
    <xf numFmtId="38" fontId="7" fillId="0" borderId="0" xfId="0" applyNumberFormat="1" applyFont="1">
      <alignment vertical="center"/>
    </xf>
    <xf numFmtId="0" fontId="8" fillId="0" borderId="0" xfId="0" applyFont="1" applyFill="1" applyAlignment="1">
      <alignment vertical="center"/>
    </xf>
    <xf numFmtId="0" fontId="9" fillId="0" borderId="0" xfId="0" applyFont="1" applyFill="1" applyAlignment="1">
      <alignment vertical="center"/>
    </xf>
    <xf numFmtId="38" fontId="7" fillId="0" borderId="0" xfId="1" applyFont="1" applyProtection="1">
      <alignment vertical="center"/>
      <protection hidden="1"/>
    </xf>
    <xf numFmtId="0" fontId="2" fillId="0" borderId="0" xfId="0" applyFont="1" applyProtection="1">
      <alignment vertical="center"/>
      <protection hidden="1"/>
    </xf>
    <xf numFmtId="38" fontId="2" fillId="0" borderId="0" xfId="1" applyFont="1" applyProtection="1">
      <alignment vertical="center"/>
      <protection hidden="1"/>
    </xf>
    <xf numFmtId="0" fontId="4" fillId="0" borderId="3" xfId="0" applyFont="1" applyBorder="1" applyAlignment="1" applyProtection="1">
      <alignment horizontal="center" vertical="center"/>
      <protection hidden="1"/>
    </xf>
    <xf numFmtId="176" fontId="4" fillId="2" borderId="4" xfId="1" applyNumberFormat="1" applyFont="1" applyFill="1" applyBorder="1" applyAlignment="1" applyProtection="1">
      <alignment horizontal="right" vertical="center"/>
      <protection hidden="1"/>
    </xf>
    <xf numFmtId="177" fontId="4" fillId="2" borderId="9" xfId="1" applyNumberFormat="1" applyFont="1" applyFill="1" applyBorder="1" applyAlignment="1" applyProtection="1">
      <alignment horizontal="right" vertical="center"/>
      <protection hidden="1"/>
    </xf>
    <xf numFmtId="0" fontId="2" fillId="0" borderId="8"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38" fontId="5" fillId="0" borderId="11" xfId="1" applyFont="1" applyBorder="1" applyAlignment="1" applyProtection="1">
      <alignment horizontal="right" vertical="center"/>
      <protection hidden="1"/>
    </xf>
    <xf numFmtId="0" fontId="2" fillId="0" borderId="8" xfId="0" applyFont="1" applyBorder="1" applyProtection="1">
      <alignment vertical="center"/>
      <protection hidden="1"/>
    </xf>
    <xf numFmtId="0" fontId="6" fillId="0" borderId="8" xfId="0" applyFont="1" applyBorder="1" applyProtection="1">
      <alignment vertical="center"/>
      <protection hidden="1"/>
    </xf>
    <xf numFmtId="38" fontId="5" fillId="0" borderId="12" xfId="1" applyFont="1" applyBorder="1" applyAlignment="1" applyProtection="1">
      <alignment horizontal="right" vertical="center"/>
      <protection hidden="1"/>
    </xf>
    <xf numFmtId="0" fontId="4" fillId="0" borderId="13" xfId="0" applyFont="1" applyBorder="1" applyAlignment="1" applyProtection="1">
      <alignment horizontal="center" vertical="center"/>
      <protection hidden="1"/>
    </xf>
    <xf numFmtId="38" fontId="5" fillId="0" borderId="14" xfId="1" applyFont="1" applyBorder="1" applyAlignment="1" applyProtection="1">
      <alignment horizontal="right" vertical="center"/>
      <protection hidden="1"/>
    </xf>
    <xf numFmtId="0" fontId="4" fillId="0" borderId="15" xfId="0" applyFont="1" applyBorder="1" applyAlignment="1" applyProtection="1">
      <alignment horizontal="center" vertical="center"/>
      <protection hidden="1"/>
    </xf>
    <xf numFmtId="38" fontId="5" fillId="0" borderId="16" xfId="1" applyFont="1" applyBorder="1" applyAlignment="1" applyProtection="1">
      <alignment horizontal="right" vertical="center"/>
      <protection hidden="1"/>
    </xf>
    <xf numFmtId="0" fontId="4" fillId="0" borderId="17" xfId="0" applyFont="1" applyBorder="1" applyAlignment="1" applyProtection="1">
      <alignment horizontal="center" vertical="center"/>
      <protection hidden="1"/>
    </xf>
    <xf numFmtId="38" fontId="5" fillId="0" borderId="18" xfId="1" applyFont="1" applyBorder="1" applyAlignment="1" applyProtection="1">
      <alignment horizontal="right" vertical="center"/>
      <protection hidden="1"/>
    </xf>
    <xf numFmtId="38" fontId="2" fillId="0" borderId="0" xfId="1" applyFont="1" applyAlignment="1" applyProtection="1">
      <alignment horizontal="center" vertical="center"/>
      <protection hidden="1"/>
    </xf>
    <xf numFmtId="0" fontId="2" fillId="0" borderId="0" xfId="0" applyFont="1" applyFill="1" applyBorder="1" applyProtection="1">
      <alignment vertical="center"/>
      <protection hidden="1"/>
    </xf>
    <xf numFmtId="38" fontId="2" fillId="0" borderId="0" xfId="1" applyFont="1" applyBorder="1" applyProtection="1">
      <alignment vertical="center"/>
      <protection hidden="1"/>
    </xf>
    <xf numFmtId="177" fontId="2" fillId="0" borderId="0" xfId="0" applyNumberFormat="1" applyFont="1" applyProtection="1">
      <alignment vertical="center"/>
      <protection hidden="1"/>
    </xf>
    <xf numFmtId="176" fontId="2" fillId="0" borderId="0" xfId="0" applyNumberFormat="1" applyFont="1" applyAlignment="1" applyProtection="1">
      <alignment horizontal="right" vertical="center"/>
      <protection hidden="1"/>
    </xf>
    <xf numFmtId="176" fontId="2" fillId="0" borderId="0" xfId="1" applyNumberFormat="1" applyFont="1" applyAlignment="1" applyProtection="1">
      <alignment horizontal="right" vertical="center"/>
      <protection hidden="1"/>
    </xf>
    <xf numFmtId="176" fontId="2" fillId="0" borderId="0" xfId="0" applyNumberFormat="1" applyFont="1" applyProtection="1">
      <alignment vertical="center"/>
      <protection hidden="1"/>
    </xf>
    <xf numFmtId="176" fontId="2" fillId="0" borderId="0" xfId="0" applyNumberFormat="1" applyFont="1" applyFill="1" applyBorder="1" applyAlignment="1" applyProtection="1">
      <alignment horizontal="right" vertical="center"/>
      <protection hidden="1"/>
    </xf>
    <xf numFmtId="176" fontId="2" fillId="0" borderId="0" xfId="1" applyNumberFormat="1" applyFont="1" applyProtection="1">
      <alignment vertical="center"/>
      <protection hidden="1"/>
    </xf>
    <xf numFmtId="0" fontId="6" fillId="0" borderId="5" xfId="0" applyFont="1" applyBorder="1" applyProtection="1">
      <alignment vertical="center"/>
      <protection hidden="1"/>
    </xf>
    <xf numFmtId="0" fontId="6" fillId="0" borderId="23" xfId="0" applyFont="1" applyBorder="1" applyProtection="1">
      <alignment vertical="center"/>
      <protection hidden="1"/>
    </xf>
    <xf numFmtId="0" fontId="2" fillId="0" borderId="24" xfId="0" applyFont="1" applyFill="1" applyBorder="1" applyProtection="1">
      <alignment vertical="center"/>
      <protection hidden="1"/>
    </xf>
    <xf numFmtId="38" fontId="2" fillId="0" borderId="24" xfId="1" applyFont="1" applyBorder="1" applyProtection="1">
      <alignment vertical="center"/>
      <protection hidden="1"/>
    </xf>
    <xf numFmtId="0" fontId="6" fillId="0" borderId="22" xfId="0" applyFont="1" applyBorder="1" applyProtection="1">
      <alignment vertical="center"/>
      <protection hidden="1"/>
    </xf>
    <xf numFmtId="0" fontId="2" fillId="0" borderId="0" xfId="0"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38" fontId="5" fillId="0" borderId="0" xfId="1" applyFont="1" applyBorder="1" applyAlignment="1" applyProtection="1">
      <alignment horizontal="right" vertical="center"/>
      <protection hidden="1"/>
    </xf>
    <xf numFmtId="0" fontId="2" fillId="0" borderId="0" xfId="0" applyFont="1" applyAlignment="1" applyProtection="1">
      <alignment vertical="center"/>
      <protection hidden="1"/>
    </xf>
    <xf numFmtId="0" fontId="10" fillId="0" borderId="0" xfId="0" applyFont="1">
      <alignment vertical="center"/>
    </xf>
    <xf numFmtId="0" fontId="11" fillId="0" borderId="0" xfId="0" applyFont="1">
      <alignment vertical="center"/>
    </xf>
    <xf numFmtId="0" fontId="9" fillId="0" borderId="0" xfId="0" applyFont="1" applyFill="1" applyAlignment="1" applyProtection="1">
      <alignment vertical="center"/>
      <protection hidden="1"/>
    </xf>
    <xf numFmtId="0" fontId="10" fillId="0" borderId="0" xfId="0" applyFont="1" applyBorder="1" applyAlignment="1">
      <alignment horizontal="center" vertical="center"/>
    </xf>
    <xf numFmtId="179" fontId="2" fillId="0" borderId="0" xfId="0" applyNumberFormat="1" applyFont="1" applyProtection="1">
      <alignment vertical="center"/>
      <protection hidden="1"/>
    </xf>
    <xf numFmtId="181" fontId="2" fillId="0" borderId="0" xfId="1" applyNumberFormat="1" applyFont="1" applyAlignment="1" applyProtection="1">
      <alignment horizontal="center" vertical="center"/>
      <protection hidden="1"/>
    </xf>
    <xf numFmtId="182" fontId="2" fillId="0" borderId="0" xfId="1" applyNumberFormat="1" applyFont="1" applyAlignment="1" applyProtection="1">
      <alignment horizontal="center" vertical="center"/>
      <protection hidden="1"/>
    </xf>
    <xf numFmtId="0" fontId="2" fillId="0" borderId="0" xfId="0" applyFont="1" applyBorder="1" applyProtection="1">
      <alignment vertical="center"/>
      <protection hidden="1"/>
    </xf>
    <xf numFmtId="180" fontId="7" fillId="0" borderId="0" xfId="0" applyNumberFormat="1" applyFont="1" applyProtection="1">
      <alignment vertical="center"/>
      <protection hidden="1"/>
    </xf>
    <xf numFmtId="0" fontId="2" fillId="0" borderId="8" xfId="0" applyFont="1" applyBorder="1" applyAlignment="1" applyProtection="1">
      <alignment horizontal="center" vertical="center"/>
      <protection hidden="1"/>
    </xf>
    <xf numFmtId="0" fontId="7" fillId="0" borderId="0" xfId="0" applyNumberFormat="1" applyFont="1" applyFill="1" applyProtection="1">
      <alignment vertical="center"/>
      <protection hidden="1"/>
    </xf>
    <xf numFmtId="38" fontId="7" fillId="0" borderId="0" xfId="0" applyNumberFormat="1" applyFont="1" applyProtection="1">
      <alignment vertical="center"/>
      <protection hidden="1"/>
    </xf>
    <xf numFmtId="0" fontId="12" fillId="4" borderId="3" xfId="0" applyFont="1" applyFill="1" applyBorder="1" applyAlignment="1">
      <alignment horizontal="center" vertical="center"/>
    </xf>
    <xf numFmtId="38" fontId="13" fillId="5" borderId="26" xfId="1" applyFont="1" applyFill="1" applyBorder="1" applyAlignment="1" applyProtection="1">
      <alignment horizontal="right" vertical="center" wrapText="1"/>
      <protection hidden="1"/>
    </xf>
    <xf numFmtId="38" fontId="12" fillId="5" borderId="26" xfId="1" applyFont="1" applyFill="1" applyBorder="1" applyProtection="1">
      <alignment vertical="center"/>
      <protection hidden="1"/>
    </xf>
    <xf numFmtId="38" fontId="12" fillId="4" borderId="12" xfId="0" applyNumberFormat="1" applyFont="1" applyFill="1" applyBorder="1" applyProtection="1">
      <alignment vertical="center"/>
      <protection hidden="1"/>
    </xf>
    <xf numFmtId="0" fontId="7" fillId="0" borderId="25" xfId="0" applyFont="1" applyBorder="1" applyAlignment="1">
      <alignment horizontal="center" vertical="center"/>
    </xf>
    <xf numFmtId="0" fontId="8" fillId="0" borderId="25" xfId="0" applyFont="1" applyFill="1" applyBorder="1" applyAlignment="1">
      <alignment horizontal="center" vertical="center"/>
    </xf>
    <xf numFmtId="0" fontId="8" fillId="0" borderId="19" xfId="0" applyFont="1" applyFill="1" applyBorder="1" applyAlignment="1">
      <alignment horizontal="center" vertical="center"/>
    </xf>
    <xf numFmtId="38" fontId="8" fillId="0" borderId="19" xfId="0" applyNumberFormat="1" applyFont="1" applyFill="1" applyBorder="1" applyProtection="1">
      <alignment vertical="center"/>
      <protection hidden="1"/>
    </xf>
    <xf numFmtId="0" fontId="7" fillId="0" borderId="0" xfId="0" applyFont="1" applyBorder="1" applyAlignment="1">
      <alignment horizontal="center" vertical="center"/>
    </xf>
    <xf numFmtId="38" fontId="7" fillId="0" borderId="0" xfId="1" applyFont="1" applyBorder="1" applyAlignment="1" applyProtection="1">
      <alignment horizontal="center" vertical="center"/>
      <protection hidden="1"/>
    </xf>
    <xf numFmtId="38" fontId="7" fillId="0" borderId="0" xfId="1" applyFont="1" applyBorder="1" applyProtection="1">
      <alignment vertical="center"/>
      <protection hidden="1"/>
    </xf>
    <xf numFmtId="0" fontId="7" fillId="3" borderId="0" xfId="0" applyFont="1" applyFill="1" applyBorder="1" applyAlignment="1" applyProtection="1">
      <alignment vertical="center"/>
      <protection locked="0"/>
    </xf>
    <xf numFmtId="180" fontId="7" fillId="3" borderId="0" xfId="0" applyNumberFormat="1" applyFont="1" applyFill="1" applyAlignment="1" applyProtection="1">
      <alignment horizontal="left" vertical="center"/>
      <protection locked="0"/>
    </xf>
    <xf numFmtId="176" fontId="7" fillId="3" borderId="0" xfId="0" applyNumberFormat="1" applyFont="1" applyFill="1" applyBorder="1" applyAlignment="1" applyProtection="1">
      <alignment horizontal="left" vertical="center"/>
      <protection locked="0"/>
    </xf>
    <xf numFmtId="178" fontId="7" fillId="3" borderId="0" xfId="0" applyNumberFormat="1" applyFont="1" applyFill="1" applyBorder="1" applyAlignment="1" applyProtection="1">
      <alignment horizontal="left" vertical="center"/>
      <protection locked="0"/>
    </xf>
    <xf numFmtId="0" fontId="7" fillId="0" borderId="0" xfId="0" applyFont="1" applyFill="1" applyBorder="1" applyAlignment="1" applyProtection="1">
      <alignment vertical="center"/>
    </xf>
    <xf numFmtId="0" fontId="2" fillId="0" borderId="8" xfId="0" applyFont="1" applyBorder="1" applyAlignment="1" applyProtection="1">
      <alignment horizontal="center" vertical="center"/>
      <protection hidden="1"/>
    </xf>
    <xf numFmtId="38" fontId="8" fillId="0" borderId="19" xfId="1" applyFont="1" applyFill="1" applyBorder="1" applyAlignment="1" applyProtection="1">
      <alignment horizontal="right" vertical="center" wrapText="1"/>
      <protection hidden="1"/>
    </xf>
    <xf numFmtId="38" fontId="7" fillId="0" borderId="0" xfId="1" applyFont="1" applyBorder="1" applyAlignment="1" applyProtection="1">
      <alignment horizontal="right" vertical="center"/>
      <protection hidden="1"/>
    </xf>
    <xf numFmtId="38" fontId="7" fillId="0" borderId="0" xfId="1" applyFont="1">
      <alignment vertical="center"/>
    </xf>
    <xf numFmtId="38" fontId="8" fillId="0" borderId="19" xfId="1" applyFont="1" applyFill="1" applyBorder="1" applyAlignment="1" applyProtection="1">
      <alignment horizontal="right" vertical="center"/>
      <protection hidden="1"/>
    </xf>
    <xf numFmtId="0" fontId="7" fillId="0" borderId="0" xfId="0" applyFont="1" applyAlignment="1">
      <alignment horizontal="left" vertical="center"/>
    </xf>
    <xf numFmtId="0" fontId="4" fillId="0" borderId="1" xfId="0" applyFont="1" applyFill="1" applyBorder="1" applyAlignment="1" applyProtection="1">
      <alignment horizontal="center" vertical="center"/>
      <protection hidden="1"/>
    </xf>
    <xf numFmtId="0" fontId="4" fillId="0" borderId="2" xfId="0" applyFont="1" applyFill="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4" fillId="0" borderId="19" xfId="0" applyFont="1" applyFill="1" applyBorder="1" applyAlignment="1" applyProtection="1">
      <alignment horizontal="center" vertical="center"/>
      <protection hidden="1"/>
    </xf>
    <xf numFmtId="0" fontId="4" fillId="0" borderId="20" xfId="0" applyFont="1" applyFill="1" applyBorder="1" applyAlignment="1" applyProtection="1">
      <alignment horizontal="center" vertical="center"/>
      <protection hidden="1"/>
    </xf>
    <xf numFmtId="0" fontId="4" fillId="0" borderId="21" xfId="0" applyFont="1" applyFill="1" applyBorder="1" applyAlignment="1" applyProtection="1">
      <alignment horizontal="center" vertical="center"/>
      <protection hidden="1"/>
    </xf>
    <xf numFmtId="0" fontId="9" fillId="0" borderId="0" xfId="0" applyFont="1" applyFill="1" applyAlignment="1" applyProtection="1">
      <alignment vertical="center"/>
      <protection hidden="1"/>
    </xf>
  </cellXfs>
  <cellStyles count="2">
    <cellStyle name="桁区切り" xfId="1" builtinId="6"/>
    <cellStyle name="標準" xfId="0" builtinId="0"/>
  </cellStyles>
  <dxfs count="2">
    <dxf>
      <font>
        <color rgb="FFFF0000"/>
      </font>
      <fill>
        <patternFill>
          <bgColor rgb="FFFFFF00"/>
        </patternFill>
      </fill>
    </dxf>
    <dxf>
      <fill>
        <patternFill>
          <bgColor rgb="FFFFFF00"/>
        </patternFill>
      </fill>
    </dxf>
  </dxfs>
  <tableStyles count="0" defaultTableStyle="TableStyleMedium2" defaultPivotStyle="PivotStyleLight16"/>
  <colors>
    <mruColors>
      <color rgb="FFE2EFDA"/>
      <color rgb="FF43B0B0"/>
      <color rgb="FFFFC864"/>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0"/>
  <sheetViews>
    <sheetView showGridLines="0" topLeftCell="XFD1048576" workbookViewId="0">
      <selection sqref="A1:XFD1048576"/>
    </sheetView>
  </sheetViews>
  <sheetFormatPr defaultColWidth="0" defaultRowHeight="18.75" zeroHeight="1" x14ac:dyDescent="0.4"/>
  <cols>
    <col min="1" max="1" width="15.375" style="9" hidden="1" customWidth="1"/>
    <col min="2" max="2" width="19.25" style="26" hidden="1" customWidth="1"/>
    <col min="3" max="8" width="9" style="9" hidden="1" customWidth="1"/>
    <col min="9" max="9" width="9.5" style="10" hidden="1" customWidth="1"/>
    <col min="10" max="16384" width="9" style="9" hidden="1"/>
  </cols>
  <sheetData>
    <row r="1" spans="1:18" ht="18.75" hidden="1" customHeight="1" thickBot="1" x14ac:dyDescent="0.45">
      <c r="A1" s="78" t="s">
        <v>14</v>
      </c>
      <c r="B1" s="79"/>
      <c r="D1" s="9" t="s">
        <v>39</v>
      </c>
      <c r="G1" s="43" t="s">
        <v>29</v>
      </c>
      <c r="I1" s="10" t="e">
        <f>IF(B10=0.5,VLOOKUP(B2,K2:R10,2,FALSE),IF(B10=1,VLOOKUP(B2,K2:R10,3,FALSE),IF(B10=1.5,VLOOKUP(B2,K2:R10,4,FALSE),IF(B10=2,VLOOKUP(B2,K2:R10,5,FALSE),IF(B10=2.5,VLOOKUP(B2,K2:R10,6,FALSE),IF(B10=3,VLOOKUP(B2,K2:R10,7,FALSE),IF(B10=3.5,VLOOKUP(B2,K2:R10,8,FALSE),"")))))))</f>
        <v>#N/A</v>
      </c>
      <c r="J1" s="9" t="s">
        <v>5</v>
      </c>
      <c r="K1" s="9" t="s">
        <v>1</v>
      </c>
      <c r="L1" s="48">
        <v>0.5</v>
      </c>
      <c r="M1" s="48">
        <v>1</v>
      </c>
      <c r="N1" s="48">
        <v>1.5</v>
      </c>
      <c r="O1" s="48">
        <v>2</v>
      </c>
      <c r="P1" s="48">
        <v>2.5</v>
      </c>
      <c r="Q1" s="48">
        <v>3</v>
      </c>
      <c r="R1" s="48">
        <v>3.5</v>
      </c>
    </row>
    <row r="2" spans="1:18" ht="18.75" hidden="1" customHeight="1" thickTop="1" thickBot="1" x14ac:dyDescent="0.45">
      <c r="A2" s="11" t="s">
        <v>2</v>
      </c>
      <c r="B2" s="12">
        <f>IF(B11&gt;1,13,料金計算ツール!B5)</f>
        <v>0</v>
      </c>
      <c r="D2" s="80" t="s">
        <v>3</v>
      </c>
      <c r="E2" s="81"/>
      <c r="F2" s="82"/>
      <c r="G2" s="83" t="s">
        <v>4</v>
      </c>
      <c r="I2" s="10">
        <f>IF(B10=0.5,H11,IF(B10=1,H12,IF(B10=1.5,H13,IF(B10=2,H14,IF(B10=2.5,H15,IF(B10=3,H16,IF(B10=3.5,H17,"")))))))</f>
        <v>0</v>
      </c>
      <c r="K2" s="9">
        <v>13</v>
      </c>
      <c r="L2" s="9">
        <f>ROUNDDOWN(M2/2,0)</f>
        <v>250</v>
      </c>
      <c r="M2" s="9">
        <v>500</v>
      </c>
      <c r="N2" s="9">
        <f>ROUNDDOWN(M2*1.5,0)</f>
        <v>750</v>
      </c>
      <c r="O2" s="9">
        <f>ROUNDDOWN(M2*2,0)</f>
        <v>1000</v>
      </c>
      <c r="P2" s="9">
        <f>ROUNDDOWN(M2*2.5,0)</f>
        <v>1250</v>
      </c>
      <c r="Q2" s="9">
        <f>ROUNDDOWN(M2*3,)</f>
        <v>1500</v>
      </c>
      <c r="R2" s="9">
        <f>ROUNDDOWN(M2*3.5,0)</f>
        <v>1750</v>
      </c>
    </row>
    <row r="3" spans="1:18" ht="18.75" hidden="1" customHeight="1" thickBot="1" x14ac:dyDescent="0.45">
      <c r="A3" s="11" t="s">
        <v>6</v>
      </c>
      <c r="B3" s="13">
        <f>料金計算ツール!B6</f>
        <v>0</v>
      </c>
      <c r="D3" s="14" t="s">
        <v>7</v>
      </c>
      <c r="E3" s="14" t="s">
        <v>8</v>
      </c>
      <c r="F3" s="14" t="s">
        <v>9</v>
      </c>
      <c r="G3" s="83"/>
      <c r="K3" s="9">
        <v>20</v>
      </c>
      <c r="L3" s="9">
        <f t="shared" ref="L3:L10" si="0">ROUNDDOWN(M3/2,0)</f>
        <v>450</v>
      </c>
      <c r="M3" s="9">
        <v>900</v>
      </c>
      <c r="N3" s="9">
        <f t="shared" ref="N3:N10" si="1">ROUNDDOWN(M3*1.5,0)</f>
        <v>1350</v>
      </c>
      <c r="O3" s="9">
        <f t="shared" ref="O3:O10" si="2">ROUNDDOWN(M3*2,0)</f>
        <v>1800</v>
      </c>
      <c r="P3" s="9">
        <f t="shared" ref="P3:P10" si="3">ROUNDDOWN(M3*2.5,0)</f>
        <v>2250</v>
      </c>
      <c r="Q3" s="9">
        <f t="shared" ref="Q3:Q10" si="4">ROUNDDOWN(M3*3,)</f>
        <v>2700</v>
      </c>
      <c r="R3" s="9">
        <f t="shared" ref="R3:R10" si="5">ROUNDDOWN(M3*3.5,0)</f>
        <v>3150</v>
      </c>
    </row>
    <row r="4" spans="1:18" ht="18.75" hidden="1" customHeight="1" thickBot="1" x14ac:dyDescent="0.45">
      <c r="A4" s="15" t="s">
        <v>10</v>
      </c>
      <c r="B4" s="16" t="str">
        <f>IFERROR(IF(B11&gt;1,I2,I1),"")</f>
        <v/>
      </c>
      <c r="D4" s="17">
        <v>1</v>
      </c>
      <c r="E4" s="17">
        <f>IF(OR($B$10=0.5,$B$10=1),E12,IF(OR($B$10=1.5,$B$10=2),E17,IF(OR($B$10=2.5,$B$10=3),E22,IF($B$10=3.5,E27,""))))</f>
        <v>20</v>
      </c>
      <c r="F4" s="17">
        <f>E4-0</f>
        <v>20</v>
      </c>
      <c r="G4" s="18">
        <v>59</v>
      </c>
      <c r="K4" s="9">
        <v>25</v>
      </c>
      <c r="L4" s="9">
        <f t="shared" si="0"/>
        <v>1360</v>
      </c>
      <c r="M4" s="9">
        <v>2720</v>
      </c>
      <c r="N4" s="9">
        <f t="shared" si="1"/>
        <v>4080</v>
      </c>
      <c r="O4" s="9">
        <f t="shared" si="2"/>
        <v>5440</v>
      </c>
      <c r="P4" s="9">
        <f t="shared" si="3"/>
        <v>6800</v>
      </c>
      <c r="Q4" s="9">
        <f t="shared" si="4"/>
        <v>8160</v>
      </c>
      <c r="R4" s="9">
        <f t="shared" si="5"/>
        <v>9520</v>
      </c>
    </row>
    <row r="5" spans="1:18" ht="18.75" hidden="1" customHeight="1" thickBot="1" x14ac:dyDescent="0.45">
      <c r="A5" s="15" t="s">
        <v>11</v>
      </c>
      <c r="B5" s="19">
        <f>SUM(MAX(MIN(B3,E4),0)*G4,MAX(MIN(E5,B3)-E4,0)*G5,MAX(MIN(E6,B3)-E5,0)*G6,MAX(B3-E6,0)*G7)</f>
        <v>0</v>
      </c>
      <c r="D5" s="17">
        <f>E4+1</f>
        <v>21</v>
      </c>
      <c r="E5" s="17">
        <f>IF(OR($B$10=0.5,$B$10=1),E13,IF(OR($B$10=1.5,$B$10=2),E18,IF(OR($B$10=2.5,$B$10=3),E23,IF($B$10=3.5,E28,""))))</f>
        <v>40</v>
      </c>
      <c r="F5" s="17">
        <f>E5-E4</f>
        <v>20</v>
      </c>
      <c r="G5" s="18">
        <v>158</v>
      </c>
      <c r="K5" s="9">
        <v>40</v>
      </c>
      <c r="L5" s="9">
        <f t="shared" si="0"/>
        <v>3430</v>
      </c>
      <c r="M5" s="9">
        <v>6860</v>
      </c>
      <c r="N5" s="9">
        <f t="shared" si="1"/>
        <v>10290</v>
      </c>
      <c r="O5" s="9">
        <f t="shared" si="2"/>
        <v>13720</v>
      </c>
      <c r="P5" s="9">
        <f t="shared" si="3"/>
        <v>17150</v>
      </c>
      <c r="Q5" s="9">
        <f t="shared" si="4"/>
        <v>20580</v>
      </c>
      <c r="R5" s="9">
        <f t="shared" si="5"/>
        <v>24010</v>
      </c>
    </row>
    <row r="6" spans="1:18" ht="18.75" hidden="1" customHeight="1" x14ac:dyDescent="0.4">
      <c r="A6" s="20" t="s">
        <v>38</v>
      </c>
      <c r="B6" s="21" t="e">
        <f>B4+B5</f>
        <v>#VALUE!</v>
      </c>
      <c r="D6" s="17">
        <f>E5+1</f>
        <v>41</v>
      </c>
      <c r="E6" s="17">
        <f>IF(OR($B$10=0.5,$B$10=1),E14,IF(OR($B$10=1.5,$B$10=2),E19,IF(OR($B$10=2.5,$B$10=3),E24,IF($B$10=3.5,E29,""))))</f>
        <v>120</v>
      </c>
      <c r="F6" s="17">
        <f>E6-E5</f>
        <v>80</v>
      </c>
      <c r="G6" s="18">
        <v>174</v>
      </c>
      <c r="K6" s="9">
        <v>50</v>
      </c>
      <c r="L6" s="9">
        <f t="shared" si="0"/>
        <v>5170</v>
      </c>
      <c r="M6" s="9">
        <v>10340</v>
      </c>
      <c r="N6" s="9">
        <f t="shared" si="1"/>
        <v>15510</v>
      </c>
      <c r="O6" s="9">
        <f t="shared" si="2"/>
        <v>20680</v>
      </c>
      <c r="P6" s="9">
        <f t="shared" si="3"/>
        <v>25850</v>
      </c>
      <c r="Q6" s="9">
        <f t="shared" si="4"/>
        <v>31020</v>
      </c>
      <c r="R6" s="9">
        <f t="shared" si="5"/>
        <v>36190</v>
      </c>
    </row>
    <row r="7" spans="1:18" ht="18.75" hidden="1" customHeight="1" x14ac:dyDescent="0.4">
      <c r="A7" s="22" t="s">
        <v>12</v>
      </c>
      <c r="B7" s="23" t="e">
        <f>ROUNDDOWN(B6*0.1,0)</f>
        <v>#VALUE!</v>
      </c>
      <c r="D7" s="17">
        <f>E6+1</f>
        <v>121</v>
      </c>
      <c r="E7" s="17"/>
      <c r="F7" s="17"/>
      <c r="G7" s="18">
        <v>217</v>
      </c>
      <c r="K7" s="9">
        <v>75</v>
      </c>
      <c r="L7" s="9">
        <f t="shared" si="0"/>
        <v>11970</v>
      </c>
      <c r="M7" s="9">
        <v>23940</v>
      </c>
      <c r="N7" s="9">
        <f t="shared" si="1"/>
        <v>35910</v>
      </c>
      <c r="O7" s="9">
        <f t="shared" si="2"/>
        <v>47880</v>
      </c>
      <c r="P7" s="9">
        <f t="shared" si="3"/>
        <v>59850</v>
      </c>
      <c r="Q7" s="9">
        <f t="shared" si="4"/>
        <v>71820</v>
      </c>
      <c r="R7" s="9">
        <f t="shared" si="5"/>
        <v>83790</v>
      </c>
    </row>
    <row r="8" spans="1:18" ht="18.75" hidden="1" customHeight="1" thickBot="1" x14ac:dyDescent="0.45">
      <c r="A8" s="24" t="s">
        <v>13</v>
      </c>
      <c r="B8" s="25" t="e">
        <f>B6+B7</f>
        <v>#VALUE!</v>
      </c>
      <c r="K8" s="9">
        <v>100</v>
      </c>
      <c r="L8" s="9">
        <f t="shared" si="0"/>
        <v>19050</v>
      </c>
      <c r="M8" s="9">
        <v>38100</v>
      </c>
      <c r="N8" s="9">
        <f t="shared" si="1"/>
        <v>57150</v>
      </c>
      <c r="O8" s="9">
        <f t="shared" si="2"/>
        <v>76200</v>
      </c>
      <c r="P8" s="9">
        <f t="shared" si="3"/>
        <v>95250</v>
      </c>
      <c r="Q8" s="9">
        <f t="shared" si="4"/>
        <v>114300</v>
      </c>
      <c r="R8" s="9">
        <f t="shared" si="5"/>
        <v>133350</v>
      </c>
    </row>
    <row r="9" spans="1:18" ht="18.75" hidden="1" customHeight="1" x14ac:dyDescent="0.4">
      <c r="K9" s="9">
        <v>150</v>
      </c>
      <c r="L9" s="9">
        <f t="shared" si="0"/>
        <v>28835</v>
      </c>
      <c r="M9" s="9">
        <v>57670</v>
      </c>
      <c r="N9" s="9">
        <f t="shared" si="1"/>
        <v>86505</v>
      </c>
      <c r="O9" s="9">
        <f t="shared" si="2"/>
        <v>115340</v>
      </c>
      <c r="P9" s="9">
        <f t="shared" si="3"/>
        <v>144175</v>
      </c>
      <c r="Q9" s="9">
        <f t="shared" si="4"/>
        <v>173010</v>
      </c>
      <c r="R9" s="9">
        <f t="shared" si="5"/>
        <v>201845</v>
      </c>
    </row>
    <row r="10" spans="1:18" ht="18.75" hidden="1" customHeight="1" x14ac:dyDescent="0.4">
      <c r="A10" s="9" t="s">
        <v>32</v>
      </c>
      <c r="B10" s="49">
        <f>料金計算ツール!B3</f>
        <v>2</v>
      </c>
      <c r="D10" s="9" t="s">
        <v>3</v>
      </c>
      <c r="G10" s="9" t="s">
        <v>37</v>
      </c>
      <c r="K10" s="9">
        <v>200</v>
      </c>
      <c r="L10" s="9">
        <f t="shared" si="0"/>
        <v>40800</v>
      </c>
      <c r="M10" s="9">
        <v>81600</v>
      </c>
      <c r="N10" s="9">
        <f t="shared" si="1"/>
        <v>122400</v>
      </c>
      <c r="O10" s="9">
        <f t="shared" si="2"/>
        <v>163200</v>
      </c>
      <c r="P10" s="9">
        <f t="shared" si="3"/>
        <v>204000</v>
      </c>
      <c r="Q10" s="9">
        <f t="shared" si="4"/>
        <v>244800</v>
      </c>
      <c r="R10" s="9">
        <f t="shared" si="5"/>
        <v>285600</v>
      </c>
    </row>
    <row r="11" spans="1:18" ht="18.75" hidden="1" customHeight="1" x14ac:dyDescent="0.4">
      <c r="B11" s="50"/>
      <c r="C11" s="9" t="s">
        <v>36</v>
      </c>
      <c r="D11" s="9" t="s">
        <v>7</v>
      </c>
      <c r="E11" s="9" t="s">
        <v>8</v>
      </c>
      <c r="G11" s="48">
        <v>0.5</v>
      </c>
      <c r="H11" s="9">
        <f>L2*$B$11</f>
        <v>0</v>
      </c>
    </row>
    <row r="12" spans="1:18" hidden="1" x14ac:dyDescent="0.4">
      <c r="C12" s="9">
        <v>1</v>
      </c>
      <c r="D12" s="9">
        <v>1</v>
      </c>
      <c r="E12" s="9">
        <f>IF($B$11&gt;1,F12*$B$11,F12)</f>
        <v>10</v>
      </c>
      <c r="F12" s="9">
        <v>10</v>
      </c>
      <c r="G12" s="48">
        <v>1</v>
      </c>
      <c r="H12" s="9">
        <f>M2*$B$11</f>
        <v>0</v>
      </c>
    </row>
    <row r="13" spans="1:18" hidden="1" x14ac:dyDescent="0.4">
      <c r="D13" s="9">
        <v>11</v>
      </c>
      <c r="E13" s="9">
        <f t="shared" ref="E13:E14" si="6">IF($B$11&gt;1,F13*$B$11,F13)</f>
        <v>20</v>
      </c>
      <c r="F13" s="9">
        <v>20</v>
      </c>
      <c r="G13" s="48">
        <v>1.5</v>
      </c>
      <c r="H13" s="9">
        <f>N2*$B$11</f>
        <v>0</v>
      </c>
    </row>
    <row r="14" spans="1:18" hidden="1" x14ac:dyDescent="0.4">
      <c r="D14" s="9">
        <v>21</v>
      </c>
      <c r="E14" s="9">
        <f t="shared" si="6"/>
        <v>60</v>
      </c>
      <c r="F14" s="9">
        <v>60</v>
      </c>
      <c r="G14" s="48">
        <v>2</v>
      </c>
      <c r="H14" s="9">
        <f>O2*$B$11</f>
        <v>0</v>
      </c>
    </row>
    <row r="15" spans="1:18" hidden="1" x14ac:dyDescent="0.4">
      <c r="D15" s="9">
        <v>61</v>
      </c>
      <c r="G15" s="48">
        <v>2.5</v>
      </c>
      <c r="H15" s="9">
        <f>P2*$B$11</f>
        <v>0</v>
      </c>
    </row>
    <row r="16" spans="1:18" hidden="1" x14ac:dyDescent="0.4">
      <c r="C16" s="9" t="s">
        <v>35</v>
      </c>
      <c r="G16" s="48">
        <v>3</v>
      </c>
      <c r="H16" s="9">
        <f>Q2*$B$11</f>
        <v>0</v>
      </c>
    </row>
    <row r="17" spans="3:8" hidden="1" x14ac:dyDescent="0.4">
      <c r="C17" s="9">
        <v>2</v>
      </c>
      <c r="D17" s="9">
        <v>1</v>
      </c>
      <c r="E17" s="9">
        <f>IF($B$11&gt;1,F17*$B$11,F17)</f>
        <v>20</v>
      </c>
      <c r="F17" s="9">
        <v>20</v>
      </c>
      <c r="G17" s="48">
        <v>3.5</v>
      </c>
      <c r="H17" s="9">
        <f>R2*$B$11</f>
        <v>0</v>
      </c>
    </row>
    <row r="18" spans="3:8" hidden="1" x14ac:dyDescent="0.4">
      <c r="D18" s="9">
        <v>21</v>
      </c>
      <c r="E18" s="9">
        <f t="shared" ref="E18:E19" si="7">IF($B$11&gt;1,F18*$B$11,F18)</f>
        <v>40</v>
      </c>
      <c r="F18" s="9">
        <v>40</v>
      </c>
    </row>
    <row r="19" spans="3:8" hidden="1" x14ac:dyDescent="0.4">
      <c r="D19" s="9">
        <v>41</v>
      </c>
      <c r="E19" s="9">
        <f t="shared" si="7"/>
        <v>120</v>
      </c>
      <c r="F19" s="9">
        <v>120</v>
      </c>
    </row>
    <row r="20" spans="3:8" hidden="1" x14ac:dyDescent="0.4">
      <c r="D20" s="9">
        <v>121</v>
      </c>
    </row>
    <row r="21" spans="3:8" hidden="1" x14ac:dyDescent="0.4">
      <c r="C21" s="9" t="s">
        <v>34</v>
      </c>
    </row>
    <row r="22" spans="3:8" hidden="1" x14ac:dyDescent="0.4">
      <c r="C22" s="9">
        <v>3</v>
      </c>
      <c r="D22" s="9">
        <v>1</v>
      </c>
      <c r="E22" s="9">
        <f>IF($B$11&gt;1,F22*$B$11,F22)</f>
        <v>30</v>
      </c>
      <c r="F22" s="9">
        <v>30</v>
      </c>
    </row>
    <row r="23" spans="3:8" hidden="1" x14ac:dyDescent="0.4">
      <c r="D23" s="9">
        <v>31</v>
      </c>
      <c r="E23" s="9">
        <f t="shared" ref="E23:E24" si="8">IF($B$11&gt;1,F23*$B$11,F23)</f>
        <v>60</v>
      </c>
      <c r="F23" s="9">
        <v>60</v>
      </c>
    </row>
    <row r="24" spans="3:8" hidden="1" x14ac:dyDescent="0.4">
      <c r="D24" s="9">
        <v>61</v>
      </c>
      <c r="E24" s="9">
        <f t="shared" si="8"/>
        <v>180</v>
      </c>
      <c r="F24" s="9">
        <v>180</v>
      </c>
    </row>
    <row r="25" spans="3:8" hidden="1" x14ac:dyDescent="0.4">
      <c r="D25" s="9">
        <v>180</v>
      </c>
    </row>
    <row r="26" spans="3:8" hidden="1" x14ac:dyDescent="0.4">
      <c r="C26" s="9" t="s">
        <v>33</v>
      </c>
    </row>
    <row r="27" spans="3:8" hidden="1" x14ac:dyDescent="0.4">
      <c r="C27" s="9">
        <v>4</v>
      </c>
      <c r="D27" s="9">
        <v>1</v>
      </c>
      <c r="E27" s="9">
        <f>IF($B$11&gt;1,F27*$B$11,F27)</f>
        <v>40</v>
      </c>
      <c r="F27" s="9">
        <v>40</v>
      </c>
    </row>
    <row r="28" spans="3:8" hidden="1" x14ac:dyDescent="0.4">
      <c r="D28" s="9">
        <v>41</v>
      </c>
      <c r="E28" s="9">
        <f t="shared" ref="E28:E29" si="9">IF($B$11&gt;1,F28*$B$11,F28)</f>
        <v>80</v>
      </c>
      <c r="F28" s="9">
        <v>80</v>
      </c>
    </row>
    <row r="29" spans="3:8" hidden="1" x14ac:dyDescent="0.4">
      <c r="D29" s="9">
        <v>81</v>
      </c>
      <c r="E29" s="9">
        <f t="shared" si="9"/>
        <v>240</v>
      </c>
      <c r="F29" s="9">
        <v>240</v>
      </c>
    </row>
    <row r="30" spans="3:8" hidden="1" x14ac:dyDescent="0.4">
      <c r="D30" s="9">
        <v>241</v>
      </c>
    </row>
  </sheetData>
  <mergeCells count="3">
    <mergeCell ref="A1:B1"/>
    <mergeCell ref="D2:F2"/>
    <mergeCell ref="G2:G3"/>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T30"/>
  <sheetViews>
    <sheetView showGridLines="0" topLeftCell="XFD1048576" workbookViewId="0">
      <selection sqref="A1:XFD1048576"/>
    </sheetView>
  </sheetViews>
  <sheetFormatPr defaultColWidth="0" defaultRowHeight="18.75" zeroHeight="1" x14ac:dyDescent="0.4"/>
  <cols>
    <col min="1" max="1" width="15.375" style="9" hidden="1" customWidth="1"/>
    <col min="2" max="2" width="19.25" style="26" hidden="1" customWidth="1"/>
    <col min="3" max="9" width="9" style="9" hidden="1" customWidth="1"/>
    <col min="10" max="11" width="9" style="10" hidden="1" customWidth="1"/>
    <col min="12" max="20" width="0" style="9" hidden="1" customWidth="1"/>
    <col min="21" max="16384" width="9" style="9" hidden="1"/>
  </cols>
  <sheetData>
    <row r="1" spans="1:20" ht="20.25" hidden="1" thickBot="1" x14ac:dyDescent="0.45">
      <c r="A1" s="78" t="s">
        <v>0</v>
      </c>
      <c r="B1" s="79"/>
      <c r="D1" s="9" t="s">
        <v>40</v>
      </c>
      <c r="G1" s="9" t="s">
        <v>28</v>
      </c>
      <c r="L1" s="9" t="s">
        <v>5</v>
      </c>
      <c r="M1" s="9" t="s">
        <v>1</v>
      </c>
      <c r="N1" s="48">
        <v>0.5</v>
      </c>
      <c r="O1" s="48">
        <v>1</v>
      </c>
      <c r="P1" s="48">
        <v>1.5</v>
      </c>
      <c r="Q1" s="48">
        <v>2</v>
      </c>
      <c r="R1" s="48">
        <v>2.5</v>
      </c>
      <c r="S1" s="48">
        <v>3</v>
      </c>
      <c r="T1" s="48">
        <v>3.5</v>
      </c>
    </row>
    <row r="2" spans="1:20" ht="18.75" hidden="1" customHeight="1" thickTop="1" thickBot="1" x14ac:dyDescent="0.45">
      <c r="A2" s="11" t="s">
        <v>2</v>
      </c>
      <c r="B2" s="12">
        <f>IF(B11&gt;1,13,料金計算ツール!B5)</f>
        <v>0</v>
      </c>
      <c r="D2" s="80" t="s">
        <v>3</v>
      </c>
      <c r="E2" s="81"/>
      <c r="F2" s="82"/>
      <c r="G2" s="83" t="s">
        <v>4</v>
      </c>
      <c r="H2" s="30">
        <v>13</v>
      </c>
      <c r="I2" s="30">
        <v>25</v>
      </c>
      <c r="J2" s="31">
        <v>50</v>
      </c>
      <c r="K2" s="31">
        <v>100</v>
      </c>
      <c r="L2" s="10" t="e">
        <f>IF(B10=0.5,VLOOKUP(B2,M2:T10,2,FALSE),IF(B10=1,VLOOKUP(B2,M2:T10,3,FALSE),IF(B10=1.5,VLOOKUP(B2,M2:T10,4,FALSE),IF(B10=2,VLOOKUP(B2,M2:T10,5,FALSE),IF(B10=2.5,VLOOKUP(B2,M2:T10,6,FALSE),IF(B10=3,VLOOKUP(B2,M2:T10,7,FALSE),IF(B10=3.5,VLOOKUP(B2,M2:T10,8,FALSE),"")))))))</f>
        <v>#N/A</v>
      </c>
      <c r="M2" s="32">
        <v>13</v>
      </c>
      <c r="N2" s="9">
        <f>ROUNDDOWN(O2/2,0)</f>
        <v>277</v>
      </c>
      <c r="O2" s="9">
        <v>555</v>
      </c>
      <c r="P2" s="9">
        <f>ROUNDDOWN(O2*1.5,0)</f>
        <v>832</v>
      </c>
      <c r="Q2" s="9">
        <f>ROUNDDOWN(O2*2,0)</f>
        <v>1110</v>
      </c>
      <c r="R2" s="9">
        <f>ROUNDDOWN(O2*2.5,0)</f>
        <v>1387</v>
      </c>
      <c r="S2" s="9">
        <f>ROUNDDOWN(O2*3,)</f>
        <v>1665</v>
      </c>
      <c r="T2" s="9">
        <f>ROUNDDOWN(O2*3.5,0)</f>
        <v>1942</v>
      </c>
    </row>
    <row r="3" spans="1:20" ht="18.75" hidden="1" customHeight="1" thickBot="1" x14ac:dyDescent="0.45">
      <c r="A3" s="11" t="s">
        <v>6</v>
      </c>
      <c r="B3" s="13">
        <f>料金計算ツール!B6</f>
        <v>0</v>
      </c>
      <c r="D3" s="14" t="s">
        <v>7</v>
      </c>
      <c r="E3" s="14" t="s">
        <v>8</v>
      </c>
      <c r="F3" s="14" t="s">
        <v>9</v>
      </c>
      <c r="G3" s="83"/>
      <c r="H3" s="33">
        <v>20</v>
      </c>
      <c r="I3" s="32">
        <v>40</v>
      </c>
      <c r="J3" s="34">
        <v>75</v>
      </c>
      <c r="K3" s="31" t="s">
        <v>22</v>
      </c>
      <c r="L3" s="10">
        <f>IF(B10=0.5,H11,IF(B10=1,H12,IF(B10=1.5,H13,IF(B10=2,H14,IF(B10=2.5,H15,IF(B10=3,H16,IF(B10=3.5,H17,"")))))))</f>
        <v>0</v>
      </c>
      <c r="M3" s="32">
        <v>20</v>
      </c>
      <c r="N3" s="9">
        <f t="shared" ref="N3:N10" si="0">ROUNDDOWN(O3/2,0)</f>
        <v>277</v>
      </c>
      <c r="O3" s="9">
        <v>555</v>
      </c>
      <c r="P3" s="9">
        <f t="shared" ref="P3:P10" si="1">ROUNDDOWN(O3*1.5,0)</f>
        <v>832</v>
      </c>
      <c r="Q3" s="9">
        <f t="shared" ref="Q3:Q10" si="2">ROUNDDOWN(O3*2,0)</f>
        <v>1110</v>
      </c>
      <c r="R3" s="9">
        <f t="shared" ref="R3:R10" si="3">ROUNDDOWN(O3*2.5,0)</f>
        <v>1387</v>
      </c>
      <c r="S3" s="9">
        <f t="shared" ref="S3:S10" si="4">ROUNDDOWN(O3*3,)</f>
        <v>1665</v>
      </c>
      <c r="T3" s="9">
        <f t="shared" ref="T3:T10" si="5">ROUNDDOWN(O3*3.5,0)</f>
        <v>1942</v>
      </c>
    </row>
    <row r="4" spans="1:20" ht="18.75" hidden="1" customHeight="1" thickBot="1" x14ac:dyDescent="0.45">
      <c r="A4" s="15" t="s">
        <v>10</v>
      </c>
      <c r="B4" s="16" t="str">
        <f>IFERROR(IF(B11&gt;1,L3,L2),"")</f>
        <v/>
      </c>
      <c r="D4" s="17">
        <v>1</v>
      </c>
      <c r="E4" s="17">
        <f>IF(OR($B$10=0.5,$B$10=1),E12,IF(OR($B$10=1.5,$B$10=2),E17,IF(OR($B$10=2.5,$B$10=3),E22,IF($B$10=3.5,E27,""))))</f>
        <v>20</v>
      </c>
      <c r="F4" s="17">
        <f>E4-0</f>
        <v>20</v>
      </c>
      <c r="G4" s="35" t="str">
        <f>IF(OR($B$2=13,$B$2=20),H4,H8)</f>
        <v/>
      </c>
      <c r="H4" s="36">
        <v>60</v>
      </c>
      <c r="I4" s="37">
        <v>178</v>
      </c>
      <c r="J4" s="38">
        <v>200</v>
      </c>
      <c r="K4" s="38">
        <v>231</v>
      </c>
      <c r="M4" s="32">
        <v>25</v>
      </c>
      <c r="N4" s="9">
        <f t="shared" si="0"/>
        <v>1500</v>
      </c>
      <c r="O4" s="9">
        <v>3000</v>
      </c>
      <c r="P4" s="9">
        <f t="shared" si="1"/>
        <v>4500</v>
      </c>
      <c r="Q4" s="9">
        <f t="shared" si="2"/>
        <v>6000</v>
      </c>
      <c r="R4" s="9">
        <f t="shared" si="3"/>
        <v>7500</v>
      </c>
      <c r="S4" s="9">
        <f t="shared" si="4"/>
        <v>9000</v>
      </c>
      <c r="T4" s="9">
        <f t="shared" si="5"/>
        <v>10500</v>
      </c>
    </row>
    <row r="5" spans="1:20" ht="18.75" hidden="1" customHeight="1" thickBot="1" x14ac:dyDescent="0.45">
      <c r="A5" s="15" t="s">
        <v>11</v>
      </c>
      <c r="B5" s="19" t="str">
        <f>IFERROR(SUM(MAX(MIN(B3,E4),0)*G4,MAX(MIN(E5,B3)-E4,0)*G5,MAX(MIN(E6,B3)-E5,0)*G6,MAX(B3-E6,0)*G7),"")</f>
        <v/>
      </c>
      <c r="D5" s="17">
        <f>E4+1</f>
        <v>21</v>
      </c>
      <c r="E5" s="17">
        <f>IF(OR($B$10=0.5,$B$10=1),E13,IF(OR($B$10=1.5,$B$10=2),E18,IF(OR($B$10=2.5,$B$10=3),E23,IF($B$10=3.5,E28,""))))</f>
        <v>40</v>
      </c>
      <c r="F5" s="17">
        <f>E5-E4</f>
        <v>20</v>
      </c>
      <c r="G5" s="35" t="str">
        <f>IF(OR($B$2=13,$B$2=20),H5,H9)</f>
        <v/>
      </c>
      <c r="H5" s="39">
        <v>178</v>
      </c>
      <c r="I5" s="27">
        <v>178</v>
      </c>
      <c r="J5" s="10">
        <v>200</v>
      </c>
      <c r="K5" s="10">
        <v>231</v>
      </c>
      <c r="M5" s="32">
        <v>40</v>
      </c>
      <c r="N5" s="9">
        <f t="shared" si="0"/>
        <v>4050</v>
      </c>
      <c r="O5" s="9">
        <v>8100</v>
      </c>
      <c r="P5" s="9">
        <f t="shared" si="1"/>
        <v>12150</v>
      </c>
      <c r="Q5" s="9">
        <f t="shared" si="2"/>
        <v>16200</v>
      </c>
      <c r="R5" s="9">
        <f t="shared" si="3"/>
        <v>20250</v>
      </c>
      <c r="S5" s="9">
        <f t="shared" si="4"/>
        <v>24300</v>
      </c>
      <c r="T5" s="9">
        <f t="shared" si="5"/>
        <v>28350</v>
      </c>
    </row>
    <row r="6" spans="1:20" ht="18.75" hidden="1" customHeight="1" x14ac:dyDescent="0.4">
      <c r="A6" s="20" t="s">
        <v>38</v>
      </c>
      <c r="B6" s="21" t="str">
        <f>IFERROR(B4+B5,"")</f>
        <v/>
      </c>
      <c r="D6" s="17">
        <f>E5+1</f>
        <v>41</v>
      </c>
      <c r="E6" s="17">
        <f>IF(OR($B$10=0.5,$B$10=1),E14,IF(OR($B$10=1.5,$B$10=2),E19,IF(OR($B$10=2.5,$B$10=3),E24,IF($B$10=3.5,E29,""))))</f>
        <v>120</v>
      </c>
      <c r="F6" s="17">
        <f>E6-E5</f>
        <v>80</v>
      </c>
      <c r="G6" s="35" t="str">
        <f>IF(OR($B$2=13,$B$2=20),H6,H10)</f>
        <v/>
      </c>
      <c r="H6" s="39">
        <v>200</v>
      </c>
      <c r="I6" s="27">
        <v>200</v>
      </c>
      <c r="J6" s="10">
        <v>200</v>
      </c>
      <c r="K6" s="10">
        <v>231</v>
      </c>
      <c r="M6" s="32">
        <v>50</v>
      </c>
      <c r="N6" s="9">
        <f t="shared" si="0"/>
        <v>6500</v>
      </c>
      <c r="O6" s="9">
        <v>13000</v>
      </c>
      <c r="P6" s="9">
        <f t="shared" si="1"/>
        <v>19500</v>
      </c>
      <c r="Q6" s="9">
        <f t="shared" si="2"/>
        <v>26000</v>
      </c>
      <c r="R6" s="9">
        <f t="shared" si="3"/>
        <v>32500</v>
      </c>
      <c r="S6" s="9">
        <f t="shared" si="4"/>
        <v>39000</v>
      </c>
      <c r="T6" s="9">
        <f t="shared" si="5"/>
        <v>45500</v>
      </c>
    </row>
    <row r="7" spans="1:20" ht="18.75" hidden="1" customHeight="1" x14ac:dyDescent="0.4">
      <c r="A7" s="22" t="s">
        <v>12</v>
      </c>
      <c r="B7" s="23" t="str">
        <f>IFERROR(ROUNDDOWN(B6*0.1,0),"")</f>
        <v/>
      </c>
      <c r="D7" s="17">
        <f>E6+1</f>
        <v>121</v>
      </c>
      <c r="E7" s="17"/>
      <c r="F7" s="17"/>
      <c r="G7" s="35">
        <v>231</v>
      </c>
      <c r="H7" s="39">
        <v>231</v>
      </c>
      <c r="I7" s="27">
        <v>231</v>
      </c>
      <c r="J7" s="10">
        <v>231</v>
      </c>
      <c r="K7" s="10">
        <v>231</v>
      </c>
      <c r="M7" s="32">
        <v>75</v>
      </c>
      <c r="N7" s="9">
        <f t="shared" si="0"/>
        <v>15750</v>
      </c>
      <c r="O7" s="9">
        <v>31500</v>
      </c>
      <c r="P7" s="9">
        <f t="shared" si="1"/>
        <v>47250</v>
      </c>
      <c r="Q7" s="9">
        <f t="shared" si="2"/>
        <v>63000</v>
      </c>
      <c r="R7" s="9">
        <f t="shared" si="3"/>
        <v>78750</v>
      </c>
      <c r="S7" s="9">
        <f t="shared" si="4"/>
        <v>94500</v>
      </c>
      <c r="T7" s="9">
        <f t="shared" si="5"/>
        <v>110250</v>
      </c>
    </row>
    <row r="8" spans="1:20" ht="18.75" hidden="1" customHeight="1" thickBot="1" x14ac:dyDescent="0.45">
      <c r="A8" s="24" t="s">
        <v>13</v>
      </c>
      <c r="B8" s="25" t="e">
        <f>B6+B7</f>
        <v>#VALUE!</v>
      </c>
      <c r="H8" s="40" t="str">
        <f>IF(OR($B$2=25,$B$2=40),I4,I8)</f>
        <v/>
      </c>
      <c r="I8" s="9" t="str">
        <f>IF(OR($B$2=50,$B$2=75),J4,J8)</f>
        <v/>
      </c>
      <c r="J8" s="10" t="str">
        <f>IF(OR($B$2=100,$B$2=150,$B$2=200),K4,"")</f>
        <v/>
      </c>
      <c r="M8" s="32">
        <v>100</v>
      </c>
      <c r="N8" s="9">
        <f t="shared" si="0"/>
        <v>31000</v>
      </c>
      <c r="O8" s="9">
        <v>62000</v>
      </c>
      <c r="P8" s="9">
        <f t="shared" si="1"/>
        <v>93000</v>
      </c>
      <c r="Q8" s="9">
        <f t="shared" si="2"/>
        <v>124000</v>
      </c>
      <c r="R8" s="9">
        <f t="shared" si="3"/>
        <v>155000</v>
      </c>
      <c r="S8" s="9">
        <f t="shared" si="4"/>
        <v>186000</v>
      </c>
      <c r="T8" s="9">
        <f t="shared" si="5"/>
        <v>217000</v>
      </c>
    </row>
    <row r="9" spans="1:20" ht="18.75" hidden="1" customHeight="1" x14ac:dyDescent="0.4">
      <c r="A9" s="41"/>
      <c r="B9" s="42"/>
      <c r="H9" s="40" t="str">
        <f>IF(OR($B$2=25,$B$2=40),I5,I9)</f>
        <v/>
      </c>
      <c r="I9" s="9" t="str">
        <f>IF(OR($B$2=50,$B$2=75),J5,J9)</f>
        <v/>
      </c>
      <c r="J9" s="10" t="str">
        <f>IF(OR($B$2=100,$B$2=150,$B$2=200),K5,"")</f>
        <v/>
      </c>
      <c r="M9" s="32">
        <v>150</v>
      </c>
      <c r="N9" s="9">
        <f t="shared" si="0"/>
        <v>46000</v>
      </c>
      <c r="O9" s="9">
        <v>92000</v>
      </c>
      <c r="P9" s="9">
        <f t="shared" si="1"/>
        <v>138000</v>
      </c>
      <c r="Q9" s="9">
        <f t="shared" si="2"/>
        <v>184000</v>
      </c>
      <c r="R9" s="9">
        <f t="shared" si="3"/>
        <v>230000</v>
      </c>
      <c r="S9" s="9">
        <f t="shared" si="4"/>
        <v>276000</v>
      </c>
      <c r="T9" s="9">
        <f t="shared" si="5"/>
        <v>322000</v>
      </c>
    </row>
    <row r="10" spans="1:20" ht="18.75" hidden="1" customHeight="1" x14ac:dyDescent="0.4">
      <c r="A10" s="9" t="s">
        <v>32</v>
      </c>
      <c r="B10" s="49">
        <f>料金計算ツール!B3</f>
        <v>2</v>
      </c>
      <c r="D10" s="9" t="s">
        <v>3</v>
      </c>
      <c r="G10" s="9" t="s">
        <v>37</v>
      </c>
      <c r="H10" s="40" t="str">
        <f>IF(OR($B$2=25,$B$2=40),I6,I10)</f>
        <v/>
      </c>
      <c r="I10" s="9" t="str">
        <f>IF(OR($B$2=50,$B$2=75),J6,J10)</f>
        <v/>
      </c>
      <c r="J10" s="10" t="str">
        <f>IF(OR($B$2=100,$B$2=150,$B$2=200),K6,"")</f>
        <v/>
      </c>
      <c r="M10" s="32">
        <v>200</v>
      </c>
      <c r="N10" s="9">
        <f t="shared" si="0"/>
        <v>60000</v>
      </c>
      <c r="O10" s="9">
        <v>120000</v>
      </c>
      <c r="P10" s="9">
        <f t="shared" si="1"/>
        <v>180000</v>
      </c>
      <c r="Q10" s="9">
        <f t="shared" si="2"/>
        <v>240000</v>
      </c>
      <c r="R10" s="9">
        <f t="shared" si="3"/>
        <v>300000</v>
      </c>
      <c r="S10" s="9">
        <f t="shared" si="4"/>
        <v>360000</v>
      </c>
      <c r="T10" s="9">
        <f t="shared" si="5"/>
        <v>420000</v>
      </c>
    </row>
    <row r="11" spans="1:20" ht="18.75" hidden="1" customHeight="1" x14ac:dyDescent="0.4">
      <c r="B11" s="50"/>
      <c r="C11" s="9" t="s">
        <v>36</v>
      </c>
      <c r="D11" s="9" t="s">
        <v>7</v>
      </c>
      <c r="E11" s="9" t="s">
        <v>8</v>
      </c>
      <c r="G11" s="48">
        <v>0.5</v>
      </c>
      <c r="H11" s="9">
        <f>N2*$B$11</f>
        <v>0</v>
      </c>
    </row>
    <row r="12" spans="1:20" hidden="1" x14ac:dyDescent="0.4">
      <c r="C12" s="9">
        <v>1</v>
      </c>
      <c r="D12" s="9">
        <v>1</v>
      </c>
      <c r="E12" s="9">
        <f>IF($B$11&gt;1,F12*$B$11,F12)</f>
        <v>10</v>
      </c>
      <c r="F12" s="9">
        <v>10</v>
      </c>
      <c r="G12" s="48">
        <v>1</v>
      </c>
      <c r="H12" s="9">
        <f>O2*$B$11</f>
        <v>0</v>
      </c>
    </row>
    <row r="13" spans="1:20" hidden="1" x14ac:dyDescent="0.4">
      <c r="D13" s="9">
        <v>11</v>
      </c>
      <c r="E13" s="9">
        <f t="shared" ref="E13:E14" si="6">IF($B$11&gt;1,F13*$B$11,F13)</f>
        <v>20</v>
      </c>
      <c r="F13" s="9">
        <v>20</v>
      </c>
      <c r="G13" s="48">
        <v>1.5</v>
      </c>
      <c r="H13" s="9">
        <f>P2*$B$11</f>
        <v>0</v>
      </c>
    </row>
    <row r="14" spans="1:20" hidden="1" x14ac:dyDescent="0.4">
      <c r="D14" s="9">
        <v>21</v>
      </c>
      <c r="E14" s="9">
        <f t="shared" si="6"/>
        <v>60</v>
      </c>
      <c r="F14" s="9">
        <v>60</v>
      </c>
      <c r="G14" s="48">
        <v>2</v>
      </c>
      <c r="H14" s="9">
        <f>Q2*$B$11</f>
        <v>0</v>
      </c>
    </row>
    <row r="15" spans="1:20" hidden="1" x14ac:dyDescent="0.4">
      <c r="D15" s="9">
        <v>61</v>
      </c>
      <c r="G15" s="48">
        <v>2.5</v>
      </c>
      <c r="H15" s="9">
        <f>R2*$B$11</f>
        <v>0</v>
      </c>
    </row>
    <row r="16" spans="1:20" hidden="1" x14ac:dyDescent="0.4">
      <c r="C16" s="9" t="s">
        <v>35</v>
      </c>
      <c r="G16" s="48">
        <v>3</v>
      </c>
      <c r="H16" s="9">
        <f>S2*$B$11</f>
        <v>0</v>
      </c>
    </row>
    <row r="17" spans="3:8" hidden="1" x14ac:dyDescent="0.4">
      <c r="C17" s="9">
        <v>2</v>
      </c>
      <c r="D17" s="9">
        <v>1</v>
      </c>
      <c r="E17" s="9">
        <f>IF($B$11&gt;1,F17*$B$11,F17)</f>
        <v>20</v>
      </c>
      <c r="F17" s="9">
        <v>20</v>
      </c>
      <c r="G17" s="48">
        <v>3.5</v>
      </c>
      <c r="H17" s="9">
        <f>T2*$B$11</f>
        <v>0</v>
      </c>
    </row>
    <row r="18" spans="3:8" hidden="1" x14ac:dyDescent="0.4">
      <c r="D18" s="9">
        <v>21</v>
      </c>
      <c r="E18" s="9">
        <f t="shared" ref="E18:E19" si="7">IF($B$11&gt;1,F18*$B$11,F18)</f>
        <v>40</v>
      </c>
      <c r="F18" s="9">
        <v>40</v>
      </c>
    </row>
    <row r="19" spans="3:8" hidden="1" x14ac:dyDescent="0.4">
      <c r="D19" s="9">
        <v>41</v>
      </c>
      <c r="E19" s="9">
        <f t="shared" si="7"/>
        <v>120</v>
      </c>
      <c r="F19" s="9">
        <v>120</v>
      </c>
    </row>
    <row r="20" spans="3:8" hidden="1" x14ac:dyDescent="0.4">
      <c r="D20" s="9">
        <v>121</v>
      </c>
    </row>
    <row r="21" spans="3:8" hidden="1" x14ac:dyDescent="0.4">
      <c r="C21" s="9" t="s">
        <v>34</v>
      </c>
    </row>
    <row r="22" spans="3:8" hidden="1" x14ac:dyDescent="0.4">
      <c r="C22" s="9">
        <v>3</v>
      </c>
      <c r="D22" s="9">
        <v>1</v>
      </c>
      <c r="E22" s="9">
        <f>IF($B$11&gt;1,F22*$B$11,F22)</f>
        <v>30</v>
      </c>
      <c r="F22" s="9">
        <v>30</v>
      </c>
    </row>
    <row r="23" spans="3:8" hidden="1" x14ac:dyDescent="0.4">
      <c r="D23" s="9">
        <v>31</v>
      </c>
      <c r="E23" s="9">
        <f t="shared" ref="E23:E24" si="8">IF($B$11&gt;1,F23*$B$11,F23)</f>
        <v>60</v>
      </c>
      <c r="F23" s="9">
        <v>60</v>
      </c>
    </row>
    <row r="24" spans="3:8" hidden="1" x14ac:dyDescent="0.4">
      <c r="D24" s="9">
        <v>61</v>
      </c>
      <c r="E24" s="9">
        <f t="shared" si="8"/>
        <v>180</v>
      </c>
      <c r="F24" s="9">
        <v>180</v>
      </c>
    </row>
    <row r="25" spans="3:8" hidden="1" x14ac:dyDescent="0.4">
      <c r="D25" s="9">
        <v>180</v>
      </c>
    </row>
    <row r="26" spans="3:8" hidden="1" x14ac:dyDescent="0.4">
      <c r="C26" s="9" t="s">
        <v>33</v>
      </c>
    </row>
    <row r="27" spans="3:8" hidden="1" x14ac:dyDescent="0.4">
      <c r="C27" s="9">
        <v>4</v>
      </c>
      <c r="D27" s="9">
        <v>1</v>
      </c>
      <c r="E27" s="9">
        <f>IF($B$11&gt;1,F27*$B$11,F27)</f>
        <v>40</v>
      </c>
      <c r="F27" s="9">
        <v>40</v>
      </c>
    </row>
    <row r="28" spans="3:8" hidden="1" x14ac:dyDescent="0.4">
      <c r="D28" s="9">
        <v>41</v>
      </c>
      <c r="E28" s="9">
        <f t="shared" ref="E28:E29" si="9">IF($B$11&gt;1,F28*$B$11,F28)</f>
        <v>80</v>
      </c>
      <c r="F28" s="9">
        <v>80</v>
      </c>
    </row>
    <row r="29" spans="3:8" hidden="1" x14ac:dyDescent="0.4">
      <c r="D29" s="9">
        <v>81</v>
      </c>
      <c r="E29" s="9">
        <f t="shared" si="9"/>
        <v>240</v>
      </c>
      <c r="F29" s="9">
        <v>240</v>
      </c>
    </row>
    <row r="30" spans="3:8" hidden="1" x14ac:dyDescent="0.4">
      <c r="D30" s="9">
        <v>241</v>
      </c>
    </row>
  </sheetData>
  <mergeCells count="3">
    <mergeCell ref="A1:B1"/>
    <mergeCell ref="D2:F2"/>
    <mergeCell ref="G2:G3"/>
  </mergeCells>
  <phoneticPr fontId="3"/>
  <dataValidations count="1">
    <dataValidation type="list" allowBlank="1" showInputMessage="1" showErrorMessage="1" sqref="B2" xr:uid="{00000000-0002-0000-0100-000000000000}">
      <formula1>$M$2:$M$10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2308-4FB5-448D-BC54-F8D98E13553F}">
  <dimension ref="A1:T30"/>
  <sheetViews>
    <sheetView showGridLines="0" topLeftCell="XFD1048576" workbookViewId="0">
      <selection sqref="A1:XFD1048576"/>
    </sheetView>
  </sheetViews>
  <sheetFormatPr defaultColWidth="0" defaultRowHeight="18.75" zeroHeight="1" x14ac:dyDescent="0.4"/>
  <cols>
    <col min="1" max="1" width="15.375" style="9" hidden="1" customWidth="1"/>
    <col min="2" max="2" width="19.25" style="26" hidden="1" customWidth="1"/>
    <col min="3" max="9" width="9" style="9" hidden="1" customWidth="1"/>
    <col min="10" max="11" width="9" style="10" hidden="1" customWidth="1"/>
    <col min="12" max="20" width="0" style="9" hidden="1" customWidth="1"/>
    <col min="21" max="16384" width="9" style="9" hidden="1"/>
  </cols>
  <sheetData>
    <row r="1" spans="1:20" ht="20.25" hidden="1" thickBot="1" x14ac:dyDescent="0.45">
      <c r="A1" s="78" t="s">
        <v>0</v>
      </c>
      <c r="B1" s="79"/>
      <c r="D1" s="9" t="s">
        <v>40</v>
      </c>
      <c r="G1" s="9" t="s">
        <v>46</v>
      </c>
      <c r="L1" s="9" t="s">
        <v>5</v>
      </c>
      <c r="M1" s="9" t="s">
        <v>1</v>
      </c>
      <c r="N1" s="48">
        <v>0.5</v>
      </c>
      <c r="O1" s="48">
        <v>1</v>
      </c>
      <c r="P1" s="48">
        <v>1.5</v>
      </c>
      <c r="Q1" s="48">
        <v>2</v>
      </c>
      <c r="R1" s="48">
        <v>2.5</v>
      </c>
      <c r="S1" s="48">
        <v>3</v>
      </c>
      <c r="T1" s="48">
        <v>3.5</v>
      </c>
    </row>
    <row r="2" spans="1:20" ht="18.75" hidden="1" customHeight="1" thickTop="1" thickBot="1" x14ac:dyDescent="0.45">
      <c r="A2" s="11" t="s">
        <v>2</v>
      </c>
      <c r="B2" s="12">
        <f>IF(B11&gt;1,13,料金計算ツール!B5)</f>
        <v>0</v>
      </c>
      <c r="D2" s="80" t="s">
        <v>3</v>
      </c>
      <c r="E2" s="81"/>
      <c r="F2" s="82"/>
      <c r="G2" s="83" t="s">
        <v>4</v>
      </c>
      <c r="H2" s="30">
        <v>13</v>
      </c>
      <c r="I2" s="30">
        <v>25</v>
      </c>
      <c r="J2" s="31">
        <v>50</v>
      </c>
      <c r="K2" s="31">
        <v>100</v>
      </c>
      <c r="L2" s="10" t="e">
        <f>IF(B10=0.5,VLOOKUP(B2,M2:T10,2,FALSE),IF(B10=1,VLOOKUP(B2,M2:T10,3,FALSE),IF(B10=1.5,VLOOKUP(B2,M2:T10,4,FALSE),IF(B10=2,VLOOKUP(B2,M2:T10,5,FALSE),IF(B10=2.5,VLOOKUP(B2,M2:T10,6,FALSE),IF(B10=3,VLOOKUP(B2,M2:T10,7,FALSE),IF(B10=3.5,VLOOKUP(B2,M2:T10,8,FALSE),"")))))))</f>
        <v>#N/A</v>
      </c>
      <c r="M2" s="32">
        <v>13</v>
      </c>
      <c r="N2" s="9">
        <f>ROUNDDOWN(O2/2,0)</f>
        <v>277</v>
      </c>
      <c r="O2" s="9">
        <v>555</v>
      </c>
      <c r="P2" s="9">
        <f>ROUNDDOWN(O2*1.5,0)</f>
        <v>832</v>
      </c>
      <c r="Q2" s="9">
        <f>ROUNDDOWN(O2*2,0)</f>
        <v>1110</v>
      </c>
      <c r="R2" s="9">
        <f>ROUNDDOWN(O2*2.5,0)</f>
        <v>1387</v>
      </c>
      <c r="S2" s="9">
        <f>ROUNDDOWN(O2*3,)</f>
        <v>1665</v>
      </c>
      <c r="T2" s="9">
        <f>ROUNDDOWN(O2*3.5,0)</f>
        <v>1942</v>
      </c>
    </row>
    <row r="3" spans="1:20" ht="18.75" hidden="1" customHeight="1" thickBot="1" x14ac:dyDescent="0.45">
      <c r="A3" s="11" t="s">
        <v>6</v>
      </c>
      <c r="B3" s="13">
        <f>料金計算ツール!B6</f>
        <v>0</v>
      </c>
      <c r="D3" s="72" t="s">
        <v>7</v>
      </c>
      <c r="E3" s="72" t="s">
        <v>8</v>
      </c>
      <c r="F3" s="72" t="s">
        <v>9</v>
      </c>
      <c r="G3" s="83"/>
      <c r="H3" s="33">
        <v>20</v>
      </c>
      <c r="I3" s="32">
        <v>40</v>
      </c>
      <c r="J3" s="34">
        <v>75</v>
      </c>
      <c r="K3" s="31" t="s">
        <v>22</v>
      </c>
      <c r="L3" s="10">
        <f>IF(B10=0.5,H11,IF(B10=1,H12,IF(B10=1.5,H13,IF(B10=2,H14,IF(B10=2.5,H15,IF(B10=3,H16,IF(B10=3.5,H17,"")))))))</f>
        <v>0</v>
      </c>
      <c r="M3" s="32">
        <v>20</v>
      </c>
      <c r="N3" s="9">
        <f t="shared" ref="N3" si="0">ROUNDDOWN(O3/2,0)</f>
        <v>277</v>
      </c>
      <c r="O3" s="9">
        <v>555</v>
      </c>
      <c r="P3" s="9">
        <f t="shared" ref="P3" si="1">ROUNDDOWN(O3*1.5,0)</f>
        <v>832</v>
      </c>
      <c r="Q3" s="9">
        <f t="shared" ref="Q3" si="2">ROUNDDOWN(O3*2,0)</f>
        <v>1110</v>
      </c>
      <c r="R3" s="9">
        <f t="shared" ref="R3" si="3">ROUNDDOWN(O3*2.5,0)</f>
        <v>1387</v>
      </c>
      <c r="S3" s="9">
        <f t="shared" ref="S3" si="4">ROUNDDOWN(O3*3,)</f>
        <v>1665</v>
      </c>
      <c r="T3" s="9">
        <f t="shared" ref="T3" si="5">ROUNDDOWN(O3*3.5,0)</f>
        <v>1942</v>
      </c>
    </row>
    <row r="4" spans="1:20" ht="18.75" hidden="1" customHeight="1" thickBot="1" x14ac:dyDescent="0.45">
      <c r="A4" s="15" t="s">
        <v>10</v>
      </c>
      <c r="B4" s="16" t="str">
        <f>IF(AND(B14=M12)*OR(B15=M2,B15=M3),0,B13)</f>
        <v/>
      </c>
      <c r="D4" s="17">
        <v>1</v>
      </c>
      <c r="E4" s="17">
        <f>IF(OR($B$10=0.5,$B$10=1),E12,IF(OR($B$10=1.5,$B$10=2),E17,IF(OR($B$10=2.5,$B$10=3),E22,IF($B$10=3.5,E27,""))))</f>
        <v>20</v>
      </c>
      <c r="F4" s="17">
        <f>E4-0</f>
        <v>20</v>
      </c>
      <c r="G4" s="35" t="str">
        <f>IF(OR($B$2=13,$B$2=20),H4,H8)</f>
        <v/>
      </c>
      <c r="H4" s="36">
        <v>60</v>
      </c>
      <c r="I4" s="37">
        <v>178</v>
      </c>
      <c r="J4" s="38">
        <v>200</v>
      </c>
      <c r="K4" s="38">
        <v>231</v>
      </c>
      <c r="M4" s="32">
        <v>25</v>
      </c>
      <c r="N4" s="9">
        <f t="shared" ref="N4:N10" si="6">ROUNDDOWN(O4/2,0)</f>
        <v>1500</v>
      </c>
      <c r="O4" s="9">
        <v>3000</v>
      </c>
      <c r="P4" s="9">
        <f t="shared" ref="P4:P10" si="7">ROUNDDOWN(O4*1.5,0)</f>
        <v>4500</v>
      </c>
      <c r="Q4" s="9">
        <f t="shared" ref="Q4:Q10" si="8">ROUNDDOWN(O4*2,0)</f>
        <v>6000</v>
      </c>
      <c r="R4" s="9">
        <f t="shared" ref="R4:R10" si="9">ROUNDDOWN(O4*2.5,0)</f>
        <v>7500</v>
      </c>
      <c r="S4" s="9">
        <f t="shared" ref="S4:S10" si="10">ROUNDDOWN(O4*3,)</f>
        <v>9000</v>
      </c>
      <c r="T4" s="9">
        <f t="shared" ref="T4:T10" si="11">ROUNDDOWN(O4*3.5,0)</f>
        <v>10500</v>
      </c>
    </row>
    <row r="5" spans="1:20" ht="18.75" hidden="1" customHeight="1" thickBot="1" x14ac:dyDescent="0.45">
      <c r="A5" s="15" t="s">
        <v>11</v>
      </c>
      <c r="B5" s="19" t="str">
        <f>IFERROR(SUM(MAX(MIN(B3,E4),0)*G4,MAX(MIN(E5,B3)-E4,0)*G5,MAX(MIN(E6,B3)-E5,0)*G6,MAX(B3-E6,0)*G7),"")</f>
        <v/>
      </c>
      <c r="D5" s="17">
        <f>E4+1</f>
        <v>21</v>
      </c>
      <c r="E5" s="17">
        <f>IF(OR($B$10=0.5,$B$10=1),E13,IF(OR($B$10=1.5,$B$10=2),E18,IF(OR($B$10=2.5,$B$10=3),E23,IF($B$10=3.5,E28,""))))</f>
        <v>40</v>
      </c>
      <c r="F5" s="17">
        <f>E5-E4</f>
        <v>20</v>
      </c>
      <c r="G5" s="35" t="str">
        <f>IF(OR($B$2=13,$B$2=20),H5,H9)</f>
        <v/>
      </c>
      <c r="H5" s="39">
        <v>178</v>
      </c>
      <c r="I5" s="27">
        <v>178</v>
      </c>
      <c r="J5" s="10">
        <v>200</v>
      </c>
      <c r="K5" s="10">
        <v>231</v>
      </c>
      <c r="M5" s="32">
        <v>40</v>
      </c>
      <c r="N5" s="9">
        <f t="shared" si="6"/>
        <v>4050</v>
      </c>
      <c r="O5" s="9">
        <v>8100</v>
      </c>
      <c r="P5" s="9">
        <f t="shared" si="7"/>
        <v>12150</v>
      </c>
      <c r="Q5" s="9">
        <f t="shared" si="8"/>
        <v>16200</v>
      </c>
      <c r="R5" s="9">
        <f t="shared" si="9"/>
        <v>20250</v>
      </c>
      <c r="S5" s="9">
        <f t="shared" si="10"/>
        <v>24300</v>
      </c>
      <c r="T5" s="9">
        <f t="shared" si="11"/>
        <v>28350</v>
      </c>
    </row>
    <row r="6" spans="1:20" ht="18.75" hidden="1" customHeight="1" x14ac:dyDescent="0.4">
      <c r="A6" s="20" t="s">
        <v>38</v>
      </c>
      <c r="B6" s="21" t="str">
        <f>IFERROR(B4+B5,"")</f>
        <v/>
      </c>
      <c r="D6" s="17">
        <f>E5+1</f>
        <v>41</v>
      </c>
      <c r="E6" s="17">
        <f>IF(OR($B$10=0.5,$B$10=1),E14,IF(OR($B$10=1.5,$B$10=2),E19,IF(OR($B$10=2.5,$B$10=3),E24,IF($B$10=3.5,E29,""))))</f>
        <v>120</v>
      </c>
      <c r="F6" s="17">
        <f>E6-E5</f>
        <v>80</v>
      </c>
      <c r="G6" s="35" t="str">
        <f>IF(OR($B$2=13,$B$2=20),H6,H10)</f>
        <v/>
      </c>
      <c r="H6" s="39">
        <v>200</v>
      </c>
      <c r="I6" s="27">
        <v>200</v>
      </c>
      <c r="J6" s="10">
        <v>200</v>
      </c>
      <c r="K6" s="10">
        <v>231</v>
      </c>
      <c r="M6" s="32">
        <v>50</v>
      </c>
      <c r="N6" s="9">
        <f t="shared" si="6"/>
        <v>6500</v>
      </c>
      <c r="O6" s="9">
        <v>13000</v>
      </c>
      <c r="P6" s="9">
        <f t="shared" si="7"/>
        <v>19500</v>
      </c>
      <c r="Q6" s="9">
        <f t="shared" si="8"/>
        <v>26000</v>
      </c>
      <c r="R6" s="9">
        <f t="shared" si="9"/>
        <v>32500</v>
      </c>
      <c r="S6" s="9">
        <f t="shared" si="10"/>
        <v>39000</v>
      </c>
      <c r="T6" s="9">
        <f t="shared" si="11"/>
        <v>45500</v>
      </c>
    </row>
    <row r="7" spans="1:20" ht="18.75" hidden="1" customHeight="1" x14ac:dyDescent="0.4">
      <c r="A7" s="22" t="s">
        <v>12</v>
      </c>
      <c r="B7" s="23" t="str">
        <f>IFERROR(ROUNDDOWN(B6*0.1,0),"")</f>
        <v/>
      </c>
      <c r="D7" s="17">
        <f>E6+1</f>
        <v>121</v>
      </c>
      <c r="E7" s="17"/>
      <c r="F7" s="17"/>
      <c r="G7" s="35">
        <v>231</v>
      </c>
      <c r="H7" s="39">
        <v>231</v>
      </c>
      <c r="I7" s="27">
        <v>231</v>
      </c>
      <c r="J7" s="10">
        <v>231</v>
      </c>
      <c r="K7" s="10">
        <v>231</v>
      </c>
      <c r="M7" s="32">
        <v>75</v>
      </c>
      <c r="N7" s="9">
        <f t="shared" si="6"/>
        <v>15750</v>
      </c>
      <c r="O7" s="9">
        <v>31500</v>
      </c>
      <c r="P7" s="9">
        <f t="shared" si="7"/>
        <v>47250</v>
      </c>
      <c r="Q7" s="9">
        <f t="shared" si="8"/>
        <v>63000</v>
      </c>
      <c r="R7" s="9">
        <f t="shared" si="9"/>
        <v>78750</v>
      </c>
      <c r="S7" s="9">
        <f t="shared" si="10"/>
        <v>94500</v>
      </c>
      <c r="T7" s="9">
        <f t="shared" si="11"/>
        <v>110250</v>
      </c>
    </row>
    <row r="8" spans="1:20" ht="18.75" hidden="1" customHeight="1" thickBot="1" x14ac:dyDescent="0.45">
      <c r="A8" s="24" t="s">
        <v>13</v>
      </c>
      <c r="B8" s="25" t="e">
        <f>B6+B7</f>
        <v>#VALUE!</v>
      </c>
      <c r="H8" s="40" t="str">
        <f>IF(OR($B$2=25,$B$2=40),I4,I8)</f>
        <v/>
      </c>
      <c r="I8" s="9" t="str">
        <f>IF(OR($B$2=50,$B$2=75),J4,J8)</f>
        <v/>
      </c>
      <c r="J8" s="10" t="str">
        <f>IF(OR($B$2=100,$B$2=150,$B$2=200),K4,"")</f>
        <v/>
      </c>
      <c r="M8" s="32">
        <v>100</v>
      </c>
      <c r="N8" s="9">
        <f t="shared" si="6"/>
        <v>31000</v>
      </c>
      <c r="O8" s="9">
        <v>62000</v>
      </c>
      <c r="P8" s="9">
        <f t="shared" si="7"/>
        <v>93000</v>
      </c>
      <c r="Q8" s="9">
        <f t="shared" si="8"/>
        <v>124000</v>
      </c>
      <c r="R8" s="9">
        <f t="shared" si="9"/>
        <v>155000</v>
      </c>
      <c r="S8" s="9">
        <f t="shared" si="10"/>
        <v>186000</v>
      </c>
      <c r="T8" s="9">
        <f t="shared" si="11"/>
        <v>217000</v>
      </c>
    </row>
    <row r="9" spans="1:20" ht="18.75" hidden="1" customHeight="1" x14ac:dyDescent="0.4">
      <c r="A9" s="41"/>
      <c r="B9" s="42"/>
      <c r="H9" s="40" t="str">
        <f>IF(OR($B$2=25,$B$2=40),I5,I9)</f>
        <v/>
      </c>
      <c r="I9" s="9" t="str">
        <f>IF(OR($B$2=50,$B$2=75),J5,J9)</f>
        <v/>
      </c>
      <c r="J9" s="10" t="str">
        <f>IF(OR($B$2=100,$B$2=150,$B$2=200),K5,"")</f>
        <v/>
      </c>
      <c r="M9" s="32">
        <v>150</v>
      </c>
      <c r="N9" s="9">
        <f t="shared" si="6"/>
        <v>46000</v>
      </c>
      <c r="O9" s="9">
        <v>92000</v>
      </c>
      <c r="P9" s="9">
        <f t="shared" si="7"/>
        <v>138000</v>
      </c>
      <c r="Q9" s="9">
        <f t="shared" si="8"/>
        <v>184000</v>
      </c>
      <c r="R9" s="9">
        <f t="shared" si="9"/>
        <v>230000</v>
      </c>
      <c r="S9" s="9">
        <f t="shared" si="10"/>
        <v>276000</v>
      </c>
      <c r="T9" s="9">
        <f t="shared" si="11"/>
        <v>322000</v>
      </c>
    </row>
    <row r="10" spans="1:20" ht="18.75" hidden="1" customHeight="1" x14ac:dyDescent="0.4">
      <c r="A10" s="9" t="s">
        <v>32</v>
      </c>
      <c r="B10" s="49">
        <f>料金計算ツール!B3</f>
        <v>2</v>
      </c>
      <c r="D10" s="9" t="s">
        <v>3</v>
      </c>
      <c r="G10" s="9" t="s">
        <v>37</v>
      </c>
      <c r="H10" s="40" t="str">
        <f>IF(OR($B$2=25,$B$2=40),I6,I10)</f>
        <v/>
      </c>
      <c r="I10" s="9" t="str">
        <f>IF(OR($B$2=50,$B$2=75),J6,J10)</f>
        <v/>
      </c>
      <c r="J10" s="10" t="str">
        <f>IF(OR($B$2=100,$B$2=150,$B$2=200),K6,"")</f>
        <v/>
      </c>
      <c r="M10" s="32">
        <v>200</v>
      </c>
      <c r="N10" s="9">
        <f t="shared" si="6"/>
        <v>60000</v>
      </c>
      <c r="O10" s="9">
        <v>120000</v>
      </c>
      <c r="P10" s="9">
        <f t="shared" si="7"/>
        <v>180000</v>
      </c>
      <c r="Q10" s="9">
        <f t="shared" si="8"/>
        <v>240000</v>
      </c>
      <c r="R10" s="9">
        <f t="shared" si="9"/>
        <v>300000</v>
      </c>
      <c r="S10" s="9">
        <f t="shared" si="10"/>
        <v>360000</v>
      </c>
      <c r="T10" s="9">
        <f t="shared" si="11"/>
        <v>420000</v>
      </c>
    </row>
    <row r="11" spans="1:20" ht="18.75" hidden="1" customHeight="1" x14ac:dyDescent="0.4">
      <c r="B11" s="50"/>
      <c r="C11" s="9" t="s">
        <v>36</v>
      </c>
      <c r="D11" s="9" t="s">
        <v>7</v>
      </c>
      <c r="E11" s="9" t="s">
        <v>8</v>
      </c>
      <c r="G11" s="48">
        <v>0.5</v>
      </c>
      <c r="H11" s="9">
        <f>N2*$B$11</f>
        <v>0</v>
      </c>
    </row>
    <row r="12" spans="1:20" hidden="1" x14ac:dyDescent="0.4">
      <c r="C12" s="9">
        <v>1</v>
      </c>
      <c r="D12" s="9">
        <v>1</v>
      </c>
      <c r="E12" s="9">
        <f>IF($B$11&gt;1,F12*$B$11,F12)</f>
        <v>10</v>
      </c>
      <c r="F12" s="9">
        <v>10</v>
      </c>
      <c r="G12" s="48">
        <v>1</v>
      </c>
      <c r="H12" s="9">
        <f>O2*$B$11</f>
        <v>0</v>
      </c>
      <c r="M12" s="9" t="s">
        <v>19</v>
      </c>
    </row>
    <row r="13" spans="1:20" hidden="1" x14ac:dyDescent="0.4">
      <c r="B13" s="26" t="str">
        <f>IFERROR(IF(B11&gt;1,L3,L2),"")</f>
        <v/>
      </c>
      <c r="D13" s="9">
        <v>11</v>
      </c>
      <c r="E13" s="9">
        <f t="shared" ref="E13:E14" si="12">IF($B$11&gt;1,F13*$B$11,F13)</f>
        <v>20</v>
      </c>
      <c r="F13" s="9">
        <v>20</v>
      </c>
      <c r="G13" s="48">
        <v>1.5</v>
      </c>
      <c r="H13" s="9">
        <f>P2*$B$11</f>
        <v>0</v>
      </c>
      <c r="M13" s="9" t="s">
        <v>20</v>
      </c>
    </row>
    <row r="14" spans="1:20" hidden="1" x14ac:dyDescent="0.4">
      <c r="B14" s="26">
        <f>料金計算ツール!B4</f>
        <v>0</v>
      </c>
      <c r="D14" s="9">
        <v>21</v>
      </c>
      <c r="E14" s="9">
        <f t="shared" si="12"/>
        <v>60</v>
      </c>
      <c r="F14" s="9">
        <v>60</v>
      </c>
      <c r="G14" s="48">
        <v>2</v>
      </c>
      <c r="H14" s="9">
        <f>Q2*$B$11</f>
        <v>0</v>
      </c>
      <c r="M14" s="9" t="s">
        <v>16</v>
      </c>
    </row>
    <row r="15" spans="1:20" hidden="1" x14ac:dyDescent="0.4">
      <c r="B15" s="26">
        <f>料金計算ツール!B5</f>
        <v>0</v>
      </c>
      <c r="D15" s="9">
        <v>61</v>
      </c>
      <c r="G15" s="48">
        <v>2.5</v>
      </c>
      <c r="H15" s="9">
        <f>R2*$B$11</f>
        <v>0</v>
      </c>
      <c r="M15" s="9" t="s">
        <v>21</v>
      </c>
    </row>
    <row r="16" spans="1:20" hidden="1" x14ac:dyDescent="0.4">
      <c r="C16" s="9" t="s">
        <v>35</v>
      </c>
      <c r="G16" s="48">
        <v>3</v>
      </c>
      <c r="H16" s="9">
        <f>S2*$B$11</f>
        <v>0</v>
      </c>
    </row>
    <row r="17" spans="3:8" hidden="1" x14ac:dyDescent="0.4">
      <c r="C17" s="9">
        <v>2</v>
      </c>
      <c r="D17" s="9">
        <v>1</v>
      </c>
      <c r="E17" s="9">
        <f>IF($B$11&gt;1,F17*$B$11,F17)</f>
        <v>20</v>
      </c>
      <c r="F17" s="9">
        <v>20</v>
      </c>
      <c r="G17" s="48">
        <v>3.5</v>
      </c>
      <c r="H17" s="9">
        <f>T2*$B$11</f>
        <v>0</v>
      </c>
    </row>
    <row r="18" spans="3:8" hidden="1" x14ac:dyDescent="0.4">
      <c r="D18" s="9">
        <v>21</v>
      </c>
      <c r="E18" s="9">
        <f t="shared" ref="E18:E19" si="13">IF($B$11&gt;1,F18*$B$11,F18)</f>
        <v>40</v>
      </c>
      <c r="F18" s="9">
        <v>40</v>
      </c>
    </row>
    <row r="19" spans="3:8" hidden="1" x14ac:dyDescent="0.4">
      <c r="D19" s="9">
        <v>41</v>
      </c>
      <c r="E19" s="9">
        <f t="shared" si="13"/>
        <v>120</v>
      </c>
      <c r="F19" s="9">
        <v>120</v>
      </c>
    </row>
    <row r="20" spans="3:8" hidden="1" x14ac:dyDescent="0.4">
      <c r="D20" s="9">
        <v>121</v>
      </c>
    </row>
    <row r="21" spans="3:8" hidden="1" x14ac:dyDescent="0.4">
      <c r="C21" s="9" t="s">
        <v>34</v>
      </c>
    </row>
    <row r="22" spans="3:8" hidden="1" x14ac:dyDescent="0.4">
      <c r="C22" s="9">
        <v>3</v>
      </c>
      <c r="D22" s="9">
        <v>1</v>
      </c>
      <c r="E22" s="9">
        <f>IF($B$11&gt;1,F22*$B$11,F22)</f>
        <v>30</v>
      </c>
      <c r="F22" s="9">
        <v>30</v>
      </c>
    </row>
    <row r="23" spans="3:8" hidden="1" x14ac:dyDescent="0.4">
      <c r="D23" s="9">
        <v>31</v>
      </c>
      <c r="E23" s="9">
        <f t="shared" ref="E23:E24" si="14">IF($B$11&gt;1,F23*$B$11,F23)</f>
        <v>60</v>
      </c>
      <c r="F23" s="9">
        <v>60</v>
      </c>
    </row>
    <row r="24" spans="3:8" hidden="1" x14ac:dyDescent="0.4">
      <c r="D24" s="9">
        <v>61</v>
      </c>
      <c r="E24" s="9">
        <f t="shared" si="14"/>
        <v>180</v>
      </c>
      <c r="F24" s="9">
        <v>180</v>
      </c>
    </row>
    <row r="25" spans="3:8" hidden="1" x14ac:dyDescent="0.4">
      <c r="D25" s="9">
        <v>180</v>
      </c>
    </row>
    <row r="26" spans="3:8" hidden="1" x14ac:dyDescent="0.4">
      <c r="C26" s="9" t="s">
        <v>33</v>
      </c>
    </row>
    <row r="27" spans="3:8" hidden="1" x14ac:dyDescent="0.4">
      <c r="C27" s="9">
        <v>4</v>
      </c>
      <c r="D27" s="9">
        <v>1</v>
      </c>
      <c r="E27" s="9">
        <f>IF($B$11&gt;1,F27*$B$11,F27)</f>
        <v>40</v>
      </c>
      <c r="F27" s="9">
        <v>40</v>
      </c>
    </row>
    <row r="28" spans="3:8" hidden="1" x14ac:dyDescent="0.4">
      <c r="D28" s="9">
        <v>41</v>
      </c>
      <c r="E28" s="9">
        <f t="shared" ref="E28:E29" si="15">IF($B$11&gt;1,F28*$B$11,F28)</f>
        <v>80</v>
      </c>
      <c r="F28" s="9">
        <v>80</v>
      </c>
    </row>
    <row r="29" spans="3:8" hidden="1" x14ac:dyDescent="0.4">
      <c r="D29" s="9">
        <v>81</v>
      </c>
      <c r="E29" s="9">
        <f t="shared" si="15"/>
        <v>240</v>
      </c>
      <c r="F29" s="9">
        <v>240</v>
      </c>
    </row>
    <row r="30" spans="3:8" hidden="1" x14ac:dyDescent="0.4">
      <c r="D30" s="9">
        <v>241</v>
      </c>
    </row>
  </sheetData>
  <mergeCells count="3">
    <mergeCell ref="A1:B1"/>
    <mergeCell ref="D2:F2"/>
    <mergeCell ref="G2:G3"/>
  </mergeCells>
  <phoneticPr fontId="3"/>
  <dataValidations count="1">
    <dataValidation type="list" allowBlank="1" showInputMessage="1" showErrorMessage="1" sqref="B2" xr:uid="{79738288-C75B-4F88-8860-C07651101AB2}">
      <formula1>$M$2:$M$10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T38"/>
  <sheetViews>
    <sheetView showGridLines="0" topLeftCell="XFD1048576" workbookViewId="0">
      <selection sqref="A1:XFD1048576"/>
    </sheetView>
  </sheetViews>
  <sheetFormatPr defaultColWidth="0" defaultRowHeight="18.75" zeroHeight="1" x14ac:dyDescent="0.4"/>
  <cols>
    <col min="1" max="1" width="15.375" style="9" hidden="1" customWidth="1"/>
    <col min="2" max="2" width="19.25" style="26" hidden="1" customWidth="1"/>
    <col min="3" max="8" width="9" style="9" hidden="1" customWidth="1"/>
    <col min="9" max="9" width="9" style="10" hidden="1" customWidth="1"/>
    <col min="10" max="16384" width="9" style="9" hidden="1"/>
  </cols>
  <sheetData>
    <row r="1" spans="1:20" ht="18.75" hidden="1" customHeight="1" x14ac:dyDescent="0.4">
      <c r="A1" s="78" t="s">
        <v>14</v>
      </c>
      <c r="B1" s="84"/>
      <c r="D1" s="9" t="s">
        <v>39</v>
      </c>
      <c r="G1" s="9" t="s">
        <v>27</v>
      </c>
      <c r="L1" s="9" t="s">
        <v>5</v>
      </c>
      <c r="N1" s="48">
        <v>0.5</v>
      </c>
      <c r="O1" s="48">
        <v>1</v>
      </c>
      <c r="P1" s="48">
        <v>1.5</v>
      </c>
      <c r="Q1" s="48">
        <v>2</v>
      </c>
      <c r="R1" s="48">
        <v>2.5</v>
      </c>
      <c r="S1" s="48">
        <v>3</v>
      </c>
      <c r="T1" s="48">
        <v>3.5</v>
      </c>
    </row>
    <row r="2" spans="1:20" ht="18.75" hidden="1" customHeight="1" thickBot="1" x14ac:dyDescent="0.45">
      <c r="A2" s="85"/>
      <c r="B2" s="86"/>
      <c r="D2" s="80" t="s">
        <v>3</v>
      </c>
      <c r="E2" s="81"/>
      <c r="F2" s="82"/>
      <c r="G2" s="83" t="s">
        <v>4</v>
      </c>
      <c r="L2" s="9">
        <f>IF(B10=0.5,N2,IF(B10=1,O2,IF(B10=1.5,P2,IF(B10=2,Q2,IF(B10=2.5,R2,IF(B10=3,S2,IF(B10=3.5,T2,"")))))))</f>
        <v>920</v>
      </c>
      <c r="N2" s="9">
        <f>ROUNDDOWN(O2/2,0)</f>
        <v>230</v>
      </c>
      <c r="O2" s="9">
        <v>460</v>
      </c>
      <c r="P2" s="9">
        <f>ROUNDDOWN(O2*1.5,0)</f>
        <v>690</v>
      </c>
      <c r="Q2" s="9">
        <f>ROUNDDOWN(O2*2,0)</f>
        <v>920</v>
      </c>
      <c r="R2" s="9">
        <f>ROUNDDOWN(O2*2.5,0)</f>
        <v>1150</v>
      </c>
      <c r="S2" s="9">
        <f>ROUNDDOWN(O2*3,)</f>
        <v>1380</v>
      </c>
      <c r="T2" s="9">
        <f>ROUNDDOWN(O2*3.5,0)</f>
        <v>1610</v>
      </c>
    </row>
    <row r="3" spans="1:20" ht="18.75" hidden="1" customHeight="1" thickBot="1" x14ac:dyDescent="0.45">
      <c r="A3" s="11" t="s">
        <v>6</v>
      </c>
      <c r="B3" s="13">
        <f>料金計算ツール!B6</f>
        <v>0</v>
      </c>
      <c r="D3" s="14" t="s">
        <v>7</v>
      </c>
      <c r="E3" s="14" t="s">
        <v>8</v>
      </c>
      <c r="F3" s="14" t="s">
        <v>9</v>
      </c>
      <c r="G3" s="83"/>
      <c r="L3" s="9">
        <f>IF(B10=0.5,H11,IF(B10=1,H12,IF(B10=1.5,H13,IF(B10=2,H14,IF(B10=2.5,H15,IF(B10=3,H16,IF(B10=3.5,H17,"")))))))</f>
        <v>0</v>
      </c>
    </row>
    <row r="4" spans="1:20" ht="18.75" hidden="1" customHeight="1" thickBot="1" x14ac:dyDescent="0.45">
      <c r="A4" s="15" t="s">
        <v>10</v>
      </c>
      <c r="B4" s="16">
        <f>IFERROR(IF(B11&gt;1,L3,L2),"")</f>
        <v>920</v>
      </c>
      <c r="D4" s="17">
        <v>1</v>
      </c>
      <c r="E4" s="17">
        <f>IF(OR($B$10=0.5,$B$10=1),E12,IF(OR($B$10=1.5,$B$10=2),E19,IF(OR($B$10=2.5,$B$10=3),E26,IF($B$10=3.5,E33,""))))</f>
        <v>20</v>
      </c>
      <c r="F4" s="17">
        <f>E4-0</f>
        <v>20</v>
      </c>
      <c r="G4" s="18">
        <v>70</v>
      </c>
    </row>
    <row r="5" spans="1:20" ht="18.75" hidden="1" customHeight="1" thickBot="1" x14ac:dyDescent="0.45">
      <c r="A5" s="15" t="s">
        <v>11</v>
      </c>
      <c r="B5" s="19">
        <f>IFERROR(SUM(MAX(MIN(B3,E4),0)*G4,MAX(MIN(E5,B3)-E4,0)*G5,MAX(MIN(E6,B3)-E5,0)*G6,MAX(MIN(E7,B3)-E6,0)*G7,MAX(MIN(E8,B3)-E7,0)*G8,MAX(B3-E8,0)*G9),"")</f>
        <v>0</v>
      </c>
      <c r="D5" s="17">
        <f>E4+1</f>
        <v>21</v>
      </c>
      <c r="E5" s="17">
        <f t="shared" ref="E5:E7" si="0">IF(OR($B$10=0.5,$B$10=1),E13,IF(OR($B$10=1.5,$B$10=2),E20,IF(OR($B$10=2.5,$B$10=3),E27,IF($B$10=3.5,E34,""))))</f>
        <v>40</v>
      </c>
      <c r="F5" s="17">
        <f>E5-E4</f>
        <v>20</v>
      </c>
      <c r="G5" s="18">
        <v>105</v>
      </c>
    </row>
    <row r="6" spans="1:20" ht="18.75" hidden="1" customHeight="1" x14ac:dyDescent="0.4">
      <c r="A6" s="20" t="s">
        <v>38</v>
      </c>
      <c r="B6" s="21">
        <f>IFERROR(B4+B5,"")</f>
        <v>920</v>
      </c>
      <c r="D6" s="17">
        <f>E5+1</f>
        <v>41</v>
      </c>
      <c r="E6" s="17">
        <f t="shared" si="0"/>
        <v>60</v>
      </c>
      <c r="F6" s="17">
        <f>E6-E5</f>
        <v>20</v>
      </c>
      <c r="G6" s="18">
        <v>120</v>
      </c>
    </row>
    <row r="7" spans="1:20" ht="18.75" hidden="1" customHeight="1" x14ac:dyDescent="0.4">
      <c r="A7" s="22" t="s">
        <v>12</v>
      </c>
      <c r="B7" s="23">
        <f>IFERROR(ROUNDDOWN(B6*0.1,0),"")</f>
        <v>92</v>
      </c>
      <c r="D7" s="17">
        <f>E6+1</f>
        <v>61</v>
      </c>
      <c r="E7" s="17">
        <f t="shared" si="0"/>
        <v>120</v>
      </c>
      <c r="F7" s="17">
        <f t="shared" ref="F7:F8" si="1">E7-E6</f>
        <v>60</v>
      </c>
      <c r="G7" s="18">
        <v>190</v>
      </c>
    </row>
    <row r="8" spans="1:20" ht="18.75" hidden="1" customHeight="1" thickBot="1" x14ac:dyDescent="0.45">
      <c r="A8" s="24" t="s">
        <v>13</v>
      </c>
      <c r="B8" s="25">
        <f>IFERROR(B6+B7,"")</f>
        <v>1012</v>
      </c>
      <c r="D8" s="17">
        <f>E7+1</f>
        <v>121</v>
      </c>
      <c r="E8" s="17">
        <f>IF(OR($B$10=0.5,$B$10=1),E16,IF(OR($B$10=1.5,$B$10=2),E23,IF(OR($B$10=2.5,$B$10=3),E30,IF($B$10=3.5,E37,""))))</f>
        <v>1000</v>
      </c>
      <c r="F8" s="17">
        <f t="shared" si="1"/>
        <v>880</v>
      </c>
      <c r="G8" s="18">
        <v>230</v>
      </c>
    </row>
    <row r="9" spans="1:20" ht="18.75" hidden="1" customHeight="1" x14ac:dyDescent="0.4">
      <c r="D9" s="17">
        <f>E8+1</f>
        <v>1001</v>
      </c>
      <c r="E9" s="17"/>
      <c r="F9" s="17"/>
      <c r="G9" s="18">
        <v>245</v>
      </c>
    </row>
    <row r="10" spans="1:20" ht="18.75" hidden="1" customHeight="1" x14ac:dyDescent="0.4">
      <c r="A10" s="9" t="s">
        <v>32</v>
      </c>
      <c r="B10" s="49">
        <f>料金計算ツール!B3</f>
        <v>2</v>
      </c>
      <c r="D10" s="9" t="s">
        <v>3</v>
      </c>
      <c r="G10" s="9" t="s">
        <v>37</v>
      </c>
    </row>
    <row r="11" spans="1:20" ht="18.75" hidden="1" customHeight="1" x14ac:dyDescent="0.4">
      <c r="B11" s="50"/>
      <c r="C11" s="9" t="s">
        <v>36</v>
      </c>
      <c r="D11" s="9" t="s">
        <v>7</v>
      </c>
      <c r="E11" s="9" t="s">
        <v>8</v>
      </c>
      <c r="G11" s="48">
        <v>0.5</v>
      </c>
      <c r="H11" s="9">
        <f>N2*$B$11</f>
        <v>0</v>
      </c>
    </row>
    <row r="12" spans="1:20" hidden="1" x14ac:dyDescent="0.4">
      <c r="C12" s="9">
        <v>1</v>
      </c>
      <c r="D12" s="9">
        <v>1</v>
      </c>
      <c r="E12" s="9">
        <f>IF($B$11&gt;1,F12*$B$11,F12)</f>
        <v>10</v>
      </c>
      <c r="F12" s="9">
        <f>F19/2</f>
        <v>10</v>
      </c>
      <c r="G12" s="48">
        <v>1</v>
      </c>
      <c r="H12" s="9">
        <f>O2*$B$11</f>
        <v>0</v>
      </c>
    </row>
    <row r="13" spans="1:20" hidden="1" x14ac:dyDescent="0.4">
      <c r="D13" s="9">
        <v>11</v>
      </c>
      <c r="E13" s="9">
        <f t="shared" ref="E13" si="2">IF($B$11&gt;1,F13*$B$11,F13)</f>
        <v>20</v>
      </c>
      <c r="F13" s="9">
        <f t="shared" ref="F13:F16" si="3">F20/2</f>
        <v>20</v>
      </c>
      <c r="G13" s="48">
        <v>1.5</v>
      </c>
      <c r="H13" s="9">
        <f>P2*$B$11</f>
        <v>0</v>
      </c>
    </row>
    <row r="14" spans="1:20" hidden="1" x14ac:dyDescent="0.4">
      <c r="D14" s="9">
        <v>21</v>
      </c>
      <c r="E14" s="9">
        <f>IF($B$11&gt;1,F14*$B$11,F14)</f>
        <v>30</v>
      </c>
      <c r="F14" s="9">
        <f t="shared" si="3"/>
        <v>30</v>
      </c>
      <c r="G14" s="48">
        <v>2</v>
      </c>
      <c r="H14" s="9">
        <f>Q2*$B$11</f>
        <v>0</v>
      </c>
    </row>
    <row r="15" spans="1:20" hidden="1" x14ac:dyDescent="0.4">
      <c r="D15" s="9">
        <v>31</v>
      </c>
      <c r="E15" s="9">
        <f t="shared" ref="E15:E16" si="4">IF($B$11&gt;1,F15*$B$11,F15)</f>
        <v>60</v>
      </c>
      <c r="F15" s="9">
        <f t="shared" si="3"/>
        <v>60</v>
      </c>
      <c r="G15" s="48">
        <v>2.5</v>
      </c>
      <c r="H15" s="9">
        <f>R2*$B$11</f>
        <v>0</v>
      </c>
    </row>
    <row r="16" spans="1:20" hidden="1" x14ac:dyDescent="0.4">
      <c r="D16" s="9">
        <v>61</v>
      </c>
      <c r="E16" s="9">
        <f t="shared" si="4"/>
        <v>500</v>
      </c>
      <c r="F16" s="9">
        <f t="shared" si="3"/>
        <v>500</v>
      </c>
      <c r="G16" s="48">
        <v>3</v>
      </c>
      <c r="H16" s="9">
        <f>S2*$B$11</f>
        <v>0</v>
      </c>
    </row>
    <row r="17" spans="3:8" hidden="1" x14ac:dyDescent="0.4">
      <c r="D17" s="9">
        <v>501</v>
      </c>
      <c r="G17" s="48">
        <v>3.5</v>
      </c>
      <c r="H17" s="9">
        <f>T2*$B$11</f>
        <v>0</v>
      </c>
    </row>
    <row r="18" spans="3:8" hidden="1" x14ac:dyDescent="0.4">
      <c r="C18" s="9" t="s">
        <v>35</v>
      </c>
    </row>
    <row r="19" spans="3:8" hidden="1" x14ac:dyDescent="0.4">
      <c r="C19" s="9">
        <v>2</v>
      </c>
      <c r="D19" s="9">
        <v>1</v>
      </c>
      <c r="E19" s="9">
        <f>IF($B$11&gt;1,F19*$B$11,F19)</f>
        <v>20</v>
      </c>
      <c r="F19" s="9">
        <v>20</v>
      </c>
    </row>
    <row r="20" spans="3:8" hidden="1" x14ac:dyDescent="0.4">
      <c r="D20" s="9">
        <v>21</v>
      </c>
      <c r="E20" s="9">
        <f t="shared" ref="E20:E23" si="5">IF($B$11&gt;1,F20*$B$11,F20)</f>
        <v>40</v>
      </c>
      <c r="F20" s="9">
        <v>40</v>
      </c>
    </row>
    <row r="21" spans="3:8" hidden="1" x14ac:dyDescent="0.4">
      <c r="D21" s="9">
        <v>41</v>
      </c>
      <c r="E21" s="9">
        <f t="shared" si="5"/>
        <v>60</v>
      </c>
      <c r="F21" s="9">
        <v>60</v>
      </c>
    </row>
    <row r="22" spans="3:8" hidden="1" x14ac:dyDescent="0.4">
      <c r="D22" s="9">
        <v>61</v>
      </c>
      <c r="E22" s="9">
        <f t="shared" si="5"/>
        <v>120</v>
      </c>
      <c r="F22" s="9">
        <v>120</v>
      </c>
    </row>
    <row r="23" spans="3:8" hidden="1" x14ac:dyDescent="0.4">
      <c r="D23" s="9">
        <v>121</v>
      </c>
      <c r="E23" s="9">
        <f t="shared" si="5"/>
        <v>1000</v>
      </c>
      <c r="F23" s="9">
        <v>1000</v>
      </c>
    </row>
    <row r="24" spans="3:8" hidden="1" x14ac:dyDescent="0.4">
      <c r="D24" s="9">
        <v>1001</v>
      </c>
    </row>
    <row r="25" spans="3:8" hidden="1" x14ac:dyDescent="0.4">
      <c r="C25" s="9" t="s">
        <v>34</v>
      </c>
    </row>
    <row r="26" spans="3:8" hidden="1" x14ac:dyDescent="0.4">
      <c r="C26" s="9">
        <v>3</v>
      </c>
      <c r="D26" s="9">
        <v>1</v>
      </c>
      <c r="E26" s="9">
        <f>IF($B$11&gt;1,F26*$B$11,F26)</f>
        <v>30</v>
      </c>
      <c r="F26" s="9">
        <f>F12*$C$26</f>
        <v>30</v>
      </c>
    </row>
    <row r="27" spans="3:8" hidden="1" x14ac:dyDescent="0.4">
      <c r="D27" s="9">
        <v>61</v>
      </c>
      <c r="E27" s="9">
        <f t="shared" ref="E27:E30" si="6">IF($B$11&gt;1,F27*$B$11,F27)</f>
        <v>60</v>
      </c>
      <c r="F27" s="9">
        <f t="shared" ref="F27:F30" si="7">F13*$C$26</f>
        <v>60</v>
      </c>
    </row>
    <row r="28" spans="3:8" hidden="1" x14ac:dyDescent="0.4">
      <c r="D28" s="9">
        <v>91</v>
      </c>
      <c r="E28" s="9">
        <f t="shared" si="6"/>
        <v>90</v>
      </c>
      <c r="F28" s="9">
        <f t="shared" si="7"/>
        <v>90</v>
      </c>
    </row>
    <row r="29" spans="3:8" hidden="1" x14ac:dyDescent="0.4">
      <c r="D29" s="9">
        <v>181</v>
      </c>
      <c r="E29" s="9">
        <f>IF($B$11&gt;1,F29*$B$11,F29)</f>
        <v>180</v>
      </c>
      <c r="F29" s="9">
        <f t="shared" si="7"/>
        <v>180</v>
      </c>
    </row>
    <row r="30" spans="3:8" hidden="1" x14ac:dyDescent="0.4">
      <c r="D30" s="9">
        <v>181</v>
      </c>
      <c r="E30" s="9">
        <f t="shared" si="6"/>
        <v>1500</v>
      </c>
      <c r="F30" s="9">
        <f t="shared" si="7"/>
        <v>1500</v>
      </c>
    </row>
    <row r="31" spans="3:8" hidden="1" x14ac:dyDescent="0.4">
      <c r="D31" s="9">
        <v>1501</v>
      </c>
    </row>
    <row r="32" spans="3:8" hidden="1" x14ac:dyDescent="0.4">
      <c r="C32" s="9" t="s">
        <v>33</v>
      </c>
    </row>
    <row r="33" spans="3:6" hidden="1" x14ac:dyDescent="0.4">
      <c r="C33" s="9">
        <v>4</v>
      </c>
      <c r="D33" s="9">
        <v>1</v>
      </c>
      <c r="E33" s="9">
        <f>IF($B$11&gt;1,F33*$B$11,F33)</f>
        <v>40</v>
      </c>
      <c r="F33" s="9">
        <f>F12*$C$33</f>
        <v>40</v>
      </c>
    </row>
    <row r="34" spans="3:6" hidden="1" x14ac:dyDescent="0.4">
      <c r="D34" s="9">
        <v>41</v>
      </c>
      <c r="E34" s="9">
        <f t="shared" ref="E34:E37" si="8">IF($B$11&gt;1,F34*$B$11,F34)</f>
        <v>80</v>
      </c>
      <c r="F34" s="9">
        <f t="shared" ref="F34:F37" si="9">F13*$C$33</f>
        <v>80</v>
      </c>
    </row>
    <row r="35" spans="3:6" hidden="1" x14ac:dyDescent="0.4">
      <c r="D35" s="9">
        <v>81</v>
      </c>
      <c r="E35" s="9">
        <f t="shared" si="8"/>
        <v>120</v>
      </c>
      <c r="F35" s="9">
        <f t="shared" si="9"/>
        <v>120</v>
      </c>
    </row>
    <row r="36" spans="3:6" hidden="1" x14ac:dyDescent="0.4">
      <c r="D36" s="9">
        <v>121</v>
      </c>
      <c r="E36" s="9">
        <f t="shared" si="8"/>
        <v>240</v>
      </c>
      <c r="F36" s="9">
        <f t="shared" si="9"/>
        <v>240</v>
      </c>
    </row>
    <row r="37" spans="3:6" hidden="1" x14ac:dyDescent="0.4">
      <c r="D37" s="9">
        <v>241</v>
      </c>
      <c r="E37" s="9">
        <f t="shared" si="8"/>
        <v>2000</v>
      </c>
      <c r="F37" s="9">
        <f t="shared" si="9"/>
        <v>2000</v>
      </c>
    </row>
    <row r="38" spans="3:6" hidden="1" x14ac:dyDescent="0.4">
      <c r="D38" s="9">
        <v>2001</v>
      </c>
    </row>
  </sheetData>
  <mergeCells count="3">
    <mergeCell ref="A1:B2"/>
    <mergeCell ref="D2:F2"/>
    <mergeCell ref="G2:G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48"/>
  <sheetViews>
    <sheetView showGridLines="0" topLeftCell="XFD1048576" workbookViewId="0">
      <selection sqref="A1:XFD1048576"/>
    </sheetView>
  </sheetViews>
  <sheetFormatPr defaultColWidth="0" defaultRowHeight="18.75" zeroHeight="1" x14ac:dyDescent="0.4"/>
  <cols>
    <col min="1" max="1" width="15.375" style="9" hidden="1" customWidth="1"/>
    <col min="2" max="2" width="19.25" style="26" hidden="1" customWidth="1"/>
    <col min="3" max="8" width="9" style="9" hidden="1" customWidth="1"/>
    <col min="9" max="9" width="9" style="10" hidden="1" customWidth="1"/>
    <col min="10" max="16" width="0" style="9" hidden="1" customWidth="1"/>
    <col min="17" max="16384" width="9" style="9" hidden="1"/>
  </cols>
  <sheetData>
    <row r="1" spans="1:16" ht="18.75" hidden="1" customHeight="1" x14ac:dyDescent="0.4">
      <c r="A1" s="78" t="s">
        <v>41</v>
      </c>
      <c r="B1" s="84"/>
      <c r="D1" s="9" t="s">
        <v>39</v>
      </c>
      <c r="G1" s="43" t="s">
        <v>26</v>
      </c>
      <c r="H1" s="43"/>
      <c r="I1" s="10">
        <f>IF(B10=0.5,J2,IF(B10=1,K2,IF(B10=1.5,L2,IF(B10=2,M2,IF(B10=2.5,N2,IF(B10=3,O2,IF(B10=3.5,P2,"")))))))</f>
        <v>1960</v>
      </c>
      <c r="J1" s="48">
        <v>0.5</v>
      </c>
      <c r="K1" s="48">
        <v>1</v>
      </c>
      <c r="L1" s="48">
        <v>1.5</v>
      </c>
      <c r="M1" s="48">
        <v>2</v>
      </c>
      <c r="N1" s="48">
        <v>2.5</v>
      </c>
      <c r="O1" s="48">
        <v>3</v>
      </c>
      <c r="P1" s="48">
        <v>3.5</v>
      </c>
    </row>
    <row r="2" spans="1:16" ht="18.75" hidden="1" customHeight="1" thickBot="1" x14ac:dyDescent="0.45">
      <c r="A2" s="85"/>
      <c r="B2" s="86"/>
      <c r="D2" s="80" t="s">
        <v>3</v>
      </c>
      <c r="E2" s="81"/>
      <c r="F2" s="82"/>
      <c r="G2" s="83" t="s">
        <v>4</v>
      </c>
      <c r="J2" s="9">
        <f>ROUNDDOWN(K2/2,0)</f>
        <v>490</v>
      </c>
      <c r="K2" s="9">
        <v>980</v>
      </c>
      <c r="L2" s="9">
        <f>ROUNDDOWN(K2*1.5,0)</f>
        <v>1470</v>
      </c>
      <c r="M2" s="9">
        <f>ROUNDDOWN(K2*2,0)</f>
        <v>1960</v>
      </c>
      <c r="N2" s="9">
        <f>ROUNDDOWN(K2*2.5,0)</f>
        <v>2450</v>
      </c>
      <c r="O2" s="9">
        <f>ROUNDDOWN(K2*3,)</f>
        <v>2940</v>
      </c>
      <c r="P2" s="9">
        <f>ROUNDDOWN(K2*3.5,0)</f>
        <v>3430</v>
      </c>
    </row>
    <row r="3" spans="1:16" ht="18.75" hidden="1" customHeight="1" thickBot="1" x14ac:dyDescent="0.45">
      <c r="A3" s="11" t="s">
        <v>6</v>
      </c>
      <c r="B3" s="13" t="str">
        <f>IF(料金計算ツール!B4=料金計算ツール!H6,料金計算ツール!B6,"")</f>
        <v/>
      </c>
      <c r="D3" s="14" t="s">
        <v>7</v>
      </c>
      <c r="E3" s="14" t="s">
        <v>8</v>
      </c>
      <c r="F3" s="14" t="s">
        <v>9</v>
      </c>
      <c r="G3" s="83"/>
    </row>
    <row r="4" spans="1:16" ht="18.75" hidden="1" customHeight="1" thickBot="1" x14ac:dyDescent="0.45">
      <c r="A4" s="15" t="s">
        <v>10</v>
      </c>
      <c r="B4" s="16">
        <f>IFERROR(IF(B11&gt;1,I2,I1),"")</f>
        <v>1960</v>
      </c>
      <c r="D4" s="17">
        <f>E4/2</f>
        <v>20</v>
      </c>
      <c r="E4" s="17">
        <f>IF(OR($B$10=0.5,$B$10=1),E14,IF(OR($B$10=1.5,$B$10=2),E23,IF(OR($B$10=2.5,$B$10=3),E32,IF($B$10=3.5,E41,""))))</f>
        <v>40</v>
      </c>
      <c r="F4" s="17">
        <f>IF(OR($B$10=0.5,$B$10=1),D14,IF(OR($B$10=1.5,$B$10=2),D23,IF(OR($B$10=2.5,$B$10=3),D32,IF($B$10=3.5,D41,""))))</f>
        <v>20</v>
      </c>
      <c r="G4" s="18">
        <v>100</v>
      </c>
      <c r="H4" s="27"/>
      <c r="I4" s="28"/>
    </row>
    <row r="5" spans="1:16" ht="18.75" hidden="1" customHeight="1" thickBot="1" x14ac:dyDescent="0.45">
      <c r="A5" s="15" t="s">
        <v>11</v>
      </c>
      <c r="B5" s="19" t="str">
        <f>IFERROR(IF(B3&gt;D4,SUM(MAX(MIN(B3,E4)-F4,0)*G4,MAX(MIN(E5,B3)-E4,0)*G5,MAX(MIN(E6,B3)-E5,0)*G6,MAX(MIN(E7,B3)-E6,0)*G7,MAX(MIN(E8,B3)-E7,0)*G8,MAX(MIN(E9,B3)-E8,0)*G9,MAX(MIN(E10,B3)-E9,0)*G10,MAX(B3-E10,0)*G11),0),"")</f>
        <v/>
      </c>
      <c r="D5" s="17">
        <f>E4+1</f>
        <v>41</v>
      </c>
      <c r="E5" s="17">
        <f t="shared" ref="E5:E10" si="0">IF(OR($B$10=0.5,$B$10=1),E15,IF(OR($B$10=1.5,$B$10=2),E24,IF(OR($B$10=2.5,$B$10=3),E33,IF($B$10=3.5,E42,""))))</f>
        <v>80</v>
      </c>
      <c r="F5" s="17">
        <f>E5-E4</f>
        <v>40</v>
      </c>
      <c r="G5" s="18">
        <v>120</v>
      </c>
      <c r="H5" s="27"/>
      <c r="I5" s="28"/>
    </row>
    <row r="6" spans="1:16" ht="18.75" hidden="1" customHeight="1" x14ac:dyDescent="0.4">
      <c r="A6" s="20" t="s">
        <v>38</v>
      </c>
      <c r="B6" s="21" t="str">
        <f>IFERROR(B4+B5,"")</f>
        <v/>
      </c>
      <c r="D6" s="17">
        <f t="shared" ref="D6:D11" si="1">E5+1</f>
        <v>81</v>
      </c>
      <c r="E6" s="17">
        <f t="shared" si="0"/>
        <v>120</v>
      </c>
      <c r="F6" s="17">
        <f>E6-E5</f>
        <v>40</v>
      </c>
      <c r="G6" s="18">
        <v>130</v>
      </c>
      <c r="H6" s="27"/>
      <c r="I6" s="28"/>
    </row>
    <row r="7" spans="1:16" ht="18.75" hidden="1" customHeight="1" x14ac:dyDescent="0.4">
      <c r="A7" s="22" t="s">
        <v>12</v>
      </c>
      <c r="B7" s="23" t="str">
        <f>IFERROR(ROUNDDOWN(B6*0.1,0),"")</f>
        <v/>
      </c>
      <c r="D7" s="17">
        <f t="shared" si="1"/>
        <v>121</v>
      </c>
      <c r="E7" s="17">
        <f t="shared" si="0"/>
        <v>180</v>
      </c>
      <c r="F7" s="17">
        <f t="shared" ref="F7:F9" si="2">E7-E6</f>
        <v>60</v>
      </c>
      <c r="G7" s="18">
        <v>140</v>
      </c>
      <c r="H7" s="27"/>
      <c r="I7" s="28"/>
    </row>
    <row r="8" spans="1:16" ht="18.75" hidden="1" customHeight="1" thickBot="1" x14ac:dyDescent="0.45">
      <c r="A8" s="24" t="s">
        <v>13</v>
      </c>
      <c r="B8" s="25" t="str">
        <f>IFERROR(B6+B7,"")</f>
        <v/>
      </c>
      <c r="D8" s="17">
        <f t="shared" si="1"/>
        <v>181</v>
      </c>
      <c r="E8" s="17">
        <f t="shared" si="0"/>
        <v>240</v>
      </c>
      <c r="F8" s="17">
        <f t="shared" si="2"/>
        <v>60</v>
      </c>
      <c r="G8" s="18">
        <v>170</v>
      </c>
      <c r="H8" s="27"/>
      <c r="I8" s="28"/>
    </row>
    <row r="9" spans="1:16" ht="18.75" hidden="1" customHeight="1" x14ac:dyDescent="0.4">
      <c r="D9" s="17">
        <f t="shared" si="1"/>
        <v>241</v>
      </c>
      <c r="E9" s="17">
        <f t="shared" si="0"/>
        <v>300</v>
      </c>
      <c r="F9" s="17">
        <f t="shared" si="2"/>
        <v>60</v>
      </c>
      <c r="G9" s="18">
        <v>180</v>
      </c>
      <c r="H9" s="27"/>
      <c r="I9" s="28"/>
    </row>
    <row r="10" spans="1:16" ht="18.75" hidden="1" customHeight="1" x14ac:dyDescent="0.4">
      <c r="A10" s="9" t="s">
        <v>32</v>
      </c>
      <c r="B10" s="49">
        <f>料金計算ツール!B3</f>
        <v>2</v>
      </c>
      <c r="D10" s="17">
        <f t="shared" si="1"/>
        <v>301</v>
      </c>
      <c r="E10" s="17">
        <f t="shared" si="0"/>
        <v>360</v>
      </c>
      <c r="F10" s="17">
        <f>E10-E7</f>
        <v>180</v>
      </c>
      <c r="G10" s="18">
        <v>200</v>
      </c>
      <c r="H10" s="27"/>
    </row>
    <row r="11" spans="1:16" ht="18.75" hidden="1" customHeight="1" x14ac:dyDescent="0.4">
      <c r="D11" s="17">
        <f t="shared" si="1"/>
        <v>361</v>
      </c>
      <c r="E11" s="17"/>
      <c r="F11" s="17"/>
      <c r="G11" s="18">
        <v>210</v>
      </c>
    </row>
    <row r="12" spans="1:16" hidden="1" x14ac:dyDescent="0.4">
      <c r="D12" s="9" t="s">
        <v>3</v>
      </c>
    </row>
    <row r="13" spans="1:16" hidden="1" x14ac:dyDescent="0.4">
      <c r="C13" s="9" t="s">
        <v>36</v>
      </c>
      <c r="D13" s="9" t="s">
        <v>7</v>
      </c>
      <c r="E13" s="9" t="s">
        <v>8</v>
      </c>
    </row>
    <row r="14" spans="1:16" hidden="1" x14ac:dyDescent="0.4">
      <c r="C14" s="9">
        <v>1</v>
      </c>
      <c r="D14" s="9">
        <v>10</v>
      </c>
      <c r="E14" s="9">
        <f>IF($B$11&gt;1,F14*$B$11,F14)</f>
        <v>20</v>
      </c>
      <c r="F14" s="9">
        <f>F23/2</f>
        <v>20</v>
      </c>
    </row>
    <row r="15" spans="1:16" hidden="1" x14ac:dyDescent="0.4">
      <c r="D15" s="9">
        <v>21</v>
      </c>
      <c r="E15" s="9">
        <f t="shared" ref="E15" si="3">IF($B$11&gt;1,F15*$B$11,F15)</f>
        <v>40</v>
      </c>
      <c r="F15" s="9">
        <f t="shared" ref="F15:F20" si="4">F24/2</f>
        <v>40</v>
      </c>
    </row>
    <row r="16" spans="1:16" hidden="1" x14ac:dyDescent="0.4">
      <c r="D16" s="9">
        <v>41</v>
      </c>
      <c r="E16" s="9">
        <f>IF($B$11&gt;1,F16*$B$11,F16)</f>
        <v>60</v>
      </c>
      <c r="F16" s="9">
        <f t="shared" si="4"/>
        <v>60</v>
      </c>
    </row>
    <row r="17" spans="3:6" hidden="1" x14ac:dyDescent="0.4">
      <c r="D17" s="9">
        <v>61</v>
      </c>
      <c r="E17" s="9">
        <f t="shared" ref="E17:E18" si="5">IF($B$11&gt;1,F17*$B$11,F17)</f>
        <v>90</v>
      </c>
      <c r="F17" s="9">
        <f t="shared" si="4"/>
        <v>90</v>
      </c>
    </row>
    <row r="18" spans="3:6" hidden="1" x14ac:dyDescent="0.4">
      <c r="D18" s="9">
        <v>91</v>
      </c>
      <c r="E18" s="9">
        <f t="shared" si="5"/>
        <v>120</v>
      </c>
      <c r="F18" s="9">
        <f t="shared" si="4"/>
        <v>120</v>
      </c>
    </row>
    <row r="19" spans="3:6" hidden="1" x14ac:dyDescent="0.4">
      <c r="D19" s="9">
        <v>121</v>
      </c>
      <c r="E19" s="9">
        <f>IF($B$11&gt;1,F19*$B$11,F19)</f>
        <v>150</v>
      </c>
      <c r="F19" s="9">
        <f t="shared" si="4"/>
        <v>150</v>
      </c>
    </row>
    <row r="20" spans="3:6" hidden="1" x14ac:dyDescent="0.4">
      <c r="D20" s="9">
        <v>151</v>
      </c>
      <c r="E20" s="9">
        <f t="shared" ref="E20" si="6">IF($B$11&gt;1,F20*$B$11,F20)</f>
        <v>180</v>
      </c>
      <c r="F20" s="9">
        <f t="shared" si="4"/>
        <v>180</v>
      </c>
    </row>
    <row r="21" spans="3:6" hidden="1" x14ac:dyDescent="0.4">
      <c r="D21" s="9">
        <v>181</v>
      </c>
    </row>
    <row r="22" spans="3:6" hidden="1" x14ac:dyDescent="0.4">
      <c r="C22" s="9" t="s">
        <v>35</v>
      </c>
    </row>
    <row r="23" spans="3:6" hidden="1" x14ac:dyDescent="0.4">
      <c r="C23" s="9">
        <v>2</v>
      </c>
      <c r="D23" s="9">
        <v>20</v>
      </c>
      <c r="E23" s="9">
        <f>IF($B$11&gt;1,F23*$B$11,F23)</f>
        <v>40</v>
      </c>
      <c r="F23" s="9">
        <v>40</v>
      </c>
    </row>
    <row r="24" spans="3:6" hidden="1" x14ac:dyDescent="0.4">
      <c r="D24" s="9">
        <v>41</v>
      </c>
      <c r="E24" s="9">
        <f t="shared" ref="E24:E29" si="7">IF($B$11&gt;1,F24*$B$11,F24)</f>
        <v>80</v>
      </c>
      <c r="F24" s="9">
        <v>80</v>
      </c>
    </row>
    <row r="25" spans="3:6" hidden="1" x14ac:dyDescent="0.4">
      <c r="D25" s="9">
        <v>81</v>
      </c>
      <c r="E25" s="9">
        <f t="shared" si="7"/>
        <v>120</v>
      </c>
      <c r="F25" s="9">
        <v>120</v>
      </c>
    </row>
    <row r="26" spans="3:6" hidden="1" x14ac:dyDescent="0.4">
      <c r="D26" s="9">
        <v>121</v>
      </c>
      <c r="E26" s="9">
        <f t="shared" si="7"/>
        <v>180</v>
      </c>
      <c r="F26" s="9">
        <v>180</v>
      </c>
    </row>
    <row r="27" spans="3:6" hidden="1" x14ac:dyDescent="0.4">
      <c r="D27" s="9">
        <v>181</v>
      </c>
      <c r="E27" s="9">
        <f t="shared" si="7"/>
        <v>240</v>
      </c>
      <c r="F27" s="9">
        <v>240</v>
      </c>
    </row>
    <row r="28" spans="3:6" hidden="1" x14ac:dyDescent="0.4">
      <c r="D28" s="9">
        <v>241</v>
      </c>
      <c r="E28" s="9">
        <f t="shared" si="7"/>
        <v>300</v>
      </c>
      <c r="F28" s="9">
        <v>300</v>
      </c>
    </row>
    <row r="29" spans="3:6" hidden="1" x14ac:dyDescent="0.4">
      <c r="D29" s="9">
        <v>301</v>
      </c>
      <c r="E29" s="9">
        <f t="shared" si="7"/>
        <v>360</v>
      </c>
      <c r="F29" s="9">
        <v>360</v>
      </c>
    </row>
    <row r="30" spans="3:6" hidden="1" x14ac:dyDescent="0.4">
      <c r="D30" s="9">
        <v>361</v>
      </c>
    </row>
    <row r="31" spans="3:6" hidden="1" x14ac:dyDescent="0.4">
      <c r="C31" s="9" t="s">
        <v>34</v>
      </c>
    </row>
    <row r="32" spans="3:6" hidden="1" x14ac:dyDescent="0.4">
      <c r="C32" s="9">
        <v>3</v>
      </c>
      <c r="D32" s="9">
        <v>30</v>
      </c>
      <c r="E32" s="9">
        <f>IF($B$11&gt;1,F32*$B$11,F32)</f>
        <v>60</v>
      </c>
      <c r="F32" s="9">
        <f>F14*$C$32</f>
        <v>60</v>
      </c>
    </row>
    <row r="33" spans="3:6" hidden="1" x14ac:dyDescent="0.4">
      <c r="D33" s="9">
        <v>121</v>
      </c>
      <c r="E33" s="9">
        <f t="shared" ref="E33:E38" si="8">IF($B$11&gt;1,F33*$B$11,F33)</f>
        <v>120</v>
      </c>
      <c r="F33" s="9">
        <f t="shared" ref="F33:F38" si="9">F15*$C$32</f>
        <v>120</v>
      </c>
    </row>
    <row r="34" spans="3:6" hidden="1" x14ac:dyDescent="0.4">
      <c r="D34" s="9">
        <v>241</v>
      </c>
      <c r="E34" s="9">
        <f t="shared" si="8"/>
        <v>180</v>
      </c>
      <c r="F34" s="9">
        <f t="shared" si="9"/>
        <v>180</v>
      </c>
    </row>
    <row r="35" spans="3:6" hidden="1" x14ac:dyDescent="0.4">
      <c r="D35" s="9">
        <v>361</v>
      </c>
      <c r="E35" s="9">
        <f t="shared" si="8"/>
        <v>270</v>
      </c>
      <c r="F35" s="9">
        <f t="shared" si="9"/>
        <v>270</v>
      </c>
    </row>
    <row r="36" spans="3:6" hidden="1" x14ac:dyDescent="0.4">
      <c r="D36" s="9">
        <v>541</v>
      </c>
      <c r="E36" s="9">
        <f t="shared" si="8"/>
        <v>360</v>
      </c>
      <c r="F36" s="9">
        <f t="shared" si="9"/>
        <v>360</v>
      </c>
    </row>
    <row r="37" spans="3:6" hidden="1" x14ac:dyDescent="0.4">
      <c r="D37" s="9">
        <v>721</v>
      </c>
      <c r="E37" s="9">
        <f t="shared" si="8"/>
        <v>450</v>
      </c>
      <c r="F37" s="9">
        <f t="shared" si="9"/>
        <v>450</v>
      </c>
    </row>
    <row r="38" spans="3:6" hidden="1" x14ac:dyDescent="0.4">
      <c r="D38" s="9">
        <v>901</v>
      </c>
      <c r="E38" s="9">
        <f t="shared" si="8"/>
        <v>540</v>
      </c>
      <c r="F38" s="9">
        <f t="shared" si="9"/>
        <v>540</v>
      </c>
    </row>
    <row r="39" spans="3:6" hidden="1" x14ac:dyDescent="0.4">
      <c r="D39" s="9">
        <v>1081</v>
      </c>
    </row>
    <row r="40" spans="3:6" hidden="1" x14ac:dyDescent="0.4">
      <c r="C40" s="9" t="s">
        <v>33</v>
      </c>
    </row>
    <row r="41" spans="3:6" hidden="1" x14ac:dyDescent="0.4">
      <c r="C41" s="9">
        <v>4</v>
      </c>
      <c r="D41" s="9">
        <v>40</v>
      </c>
      <c r="E41" s="9">
        <f>IF($B$11&gt;1,F41*$B$11,F41)</f>
        <v>80</v>
      </c>
      <c r="F41" s="9">
        <f>F14*$C$41</f>
        <v>80</v>
      </c>
    </row>
    <row r="42" spans="3:6" hidden="1" x14ac:dyDescent="0.4">
      <c r="D42" s="9">
        <v>161</v>
      </c>
      <c r="E42" s="9">
        <f t="shared" ref="E42:E47" si="10">IF($B$11&gt;1,F42*$B$11,F42)</f>
        <v>160</v>
      </c>
      <c r="F42" s="9">
        <f t="shared" ref="F42:F47" si="11">F15*$C$41</f>
        <v>160</v>
      </c>
    </row>
    <row r="43" spans="3:6" hidden="1" x14ac:dyDescent="0.4">
      <c r="D43" s="9">
        <v>321</v>
      </c>
      <c r="E43" s="9">
        <f t="shared" si="10"/>
        <v>240</v>
      </c>
      <c r="F43" s="9">
        <f t="shared" si="11"/>
        <v>240</v>
      </c>
    </row>
    <row r="44" spans="3:6" hidden="1" x14ac:dyDescent="0.4">
      <c r="D44" s="9">
        <v>481</v>
      </c>
      <c r="E44" s="9">
        <f t="shared" si="10"/>
        <v>360</v>
      </c>
      <c r="F44" s="9">
        <f t="shared" si="11"/>
        <v>360</v>
      </c>
    </row>
    <row r="45" spans="3:6" hidden="1" x14ac:dyDescent="0.4">
      <c r="D45" s="9">
        <v>721</v>
      </c>
      <c r="E45" s="9">
        <f t="shared" si="10"/>
        <v>480</v>
      </c>
      <c r="F45" s="9">
        <f t="shared" si="11"/>
        <v>480</v>
      </c>
    </row>
    <row r="46" spans="3:6" hidden="1" x14ac:dyDescent="0.4">
      <c r="D46" s="9">
        <v>961</v>
      </c>
      <c r="E46" s="9">
        <f t="shared" si="10"/>
        <v>600</v>
      </c>
      <c r="F46" s="9">
        <f t="shared" si="11"/>
        <v>600</v>
      </c>
    </row>
    <row r="47" spans="3:6" hidden="1" x14ac:dyDescent="0.4">
      <c r="D47" s="9">
        <v>1201</v>
      </c>
      <c r="E47" s="9">
        <f t="shared" si="10"/>
        <v>720</v>
      </c>
      <c r="F47" s="9">
        <f t="shared" si="11"/>
        <v>720</v>
      </c>
    </row>
    <row r="48" spans="3:6" hidden="1" x14ac:dyDescent="0.4">
      <c r="D48" s="9">
        <v>1441</v>
      </c>
    </row>
  </sheetData>
  <mergeCells count="3">
    <mergeCell ref="A1:B2"/>
    <mergeCell ref="D2:F2"/>
    <mergeCell ref="G2:G3"/>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23"/>
  <sheetViews>
    <sheetView showGridLines="0" topLeftCell="XFD1048576" workbookViewId="0">
      <selection sqref="A1:XFD1048576"/>
    </sheetView>
  </sheetViews>
  <sheetFormatPr defaultColWidth="0" defaultRowHeight="18.75" zeroHeight="1" x14ac:dyDescent="0.4"/>
  <cols>
    <col min="1" max="1" width="15.375" style="9" hidden="1" customWidth="1"/>
    <col min="2" max="2" width="19.25" style="26" hidden="1" customWidth="1"/>
    <col min="3" max="8" width="9" style="9" hidden="1" customWidth="1"/>
    <col min="9" max="9" width="9" style="10" hidden="1" customWidth="1"/>
    <col min="10" max="16384" width="9" style="9" hidden="1"/>
  </cols>
  <sheetData>
    <row r="1" spans="1:16" ht="18.75" hidden="1" customHeight="1" x14ac:dyDescent="0.4">
      <c r="A1" s="78" t="s">
        <v>14</v>
      </c>
      <c r="B1" s="84"/>
      <c r="D1" s="9" t="s">
        <v>39</v>
      </c>
      <c r="G1" s="43" t="s">
        <v>25</v>
      </c>
      <c r="I1" s="10">
        <f>IF(B10=0.5,J2,IF(B10=1,K2,IF(B10=1.5,L2,IF(B10=2,M2,IF(B10=2.5,N2,IF(B10=3,O2,IF(B10=3.5,P2,"")))))))</f>
        <v>1800</v>
      </c>
      <c r="J1" s="48">
        <v>0.5</v>
      </c>
      <c r="K1" s="48">
        <v>1</v>
      </c>
      <c r="L1" s="48">
        <v>1.5</v>
      </c>
      <c r="M1" s="48">
        <v>2</v>
      </c>
      <c r="N1" s="48">
        <v>2.5</v>
      </c>
      <c r="O1" s="48">
        <v>3</v>
      </c>
      <c r="P1" s="48">
        <v>3.5</v>
      </c>
    </row>
    <row r="2" spans="1:16" ht="18.75" hidden="1" customHeight="1" thickBot="1" x14ac:dyDescent="0.45">
      <c r="A2" s="85"/>
      <c r="B2" s="86"/>
      <c r="D2" s="80" t="s">
        <v>3</v>
      </c>
      <c r="E2" s="81"/>
      <c r="F2" s="82"/>
      <c r="G2" s="83" t="s">
        <v>4</v>
      </c>
      <c r="J2" s="9">
        <f>ROUNDDOWN(K2/2,0)</f>
        <v>450</v>
      </c>
      <c r="K2" s="9">
        <v>900</v>
      </c>
      <c r="L2" s="9">
        <f>ROUNDDOWN(K2*1.5,0)</f>
        <v>1350</v>
      </c>
      <c r="M2" s="9">
        <f>ROUNDDOWN(K2*2,0)</f>
        <v>1800</v>
      </c>
      <c r="N2" s="9">
        <f>ROUNDDOWN(K2*2.5,0)</f>
        <v>2250</v>
      </c>
      <c r="O2" s="9">
        <f>ROUNDDOWN(K2*3,)</f>
        <v>2700</v>
      </c>
      <c r="P2" s="9">
        <f>ROUNDDOWN(K2*3.5,0)</f>
        <v>3150</v>
      </c>
    </row>
    <row r="3" spans="1:16" ht="18.75" hidden="1" customHeight="1" thickBot="1" x14ac:dyDescent="0.45">
      <c r="A3" s="11" t="s">
        <v>6</v>
      </c>
      <c r="B3" s="13" t="str">
        <f>IF(料金計算ツール!B4=料金計算ツール!H7,料金計算ツール!B6,"")</f>
        <v/>
      </c>
      <c r="D3" s="14" t="s">
        <v>7</v>
      </c>
      <c r="E3" s="14" t="s">
        <v>8</v>
      </c>
      <c r="F3" s="14" t="s">
        <v>9</v>
      </c>
      <c r="G3" s="83"/>
    </row>
    <row r="4" spans="1:16" ht="18.75" hidden="1" customHeight="1" thickBot="1" x14ac:dyDescent="0.45">
      <c r="A4" s="15" t="s">
        <v>10</v>
      </c>
      <c r="B4" s="16">
        <f>IFERROR(IF(B11&gt;1,I2,I1),"")</f>
        <v>1800</v>
      </c>
      <c r="D4" s="17">
        <f>IF(OR($B$10=0.5,$B$10=1),D9,IF(OR($B$10=1.5,$B$10=2),D13,IF(OR($B$10=2.5,$B$10=3),D17,IF($B$10=3.5,D21,""))))</f>
        <v>20</v>
      </c>
      <c r="E4" s="17">
        <f>IF(OR($B$10=0.5,$B$10=1),E9,IF(OR($B$10=1.5,$B$10=2),E13,IF(OR($B$10=2.5,$B$10=3),E17,IF($B$10=3.5,E21,""))))</f>
        <v>60</v>
      </c>
      <c r="F4" s="17">
        <f>IF(OR($B$10=0.5,$B$10=1),D9,IF(OR($B$10=1.5,$B$10=2),D13,IF(OR($B$10=2.5,$B$10=3),D17,IF($B$10=3.5,D21,""))))</f>
        <v>20</v>
      </c>
      <c r="G4" s="18">
        <v>110</v>
      </c>
      <c r="H4" s="27"/>
      <c r="I4" s="28"/>
    </row>
    <row r="5" spans="1:16" ht="18.75" hidden="1" customHeight="1" thickBot="1" x14ac:dyDescent="0.45">
      <c r="A5" s="15" t="s">
        <v>11</v>
      </c>
      <c r="B5" s="19" t="str">
        <f>IFERROR(IF(B3&gt;D4,SUM(MAX(MIN(B3,E4)-F4,0)*G4,MAX(MIN(E5,B3)-E4,0)*G5,MAX(B3-E5,0)*G6),0),"")</f>
        <v/>
      </c>
      <c r="D5" s="17">
        <f>E4+1</f>
        <v>61</v>
      </c>
      <c r="E5" s="17">
        <f>IF(OR($B$10=0.5,$B$10=1),E10,IF(OR($B$10=1.5,$B$10=2),E14,IF(OR($B$10=2.5,$B$10=3),E18,IF($B$10=3.5,E22,""))))</f>
        <v>100</v>
      </c>
      <c r="F5" s="17">
        <f>E5-E4</f>
        <v>40</v>
      </c>
      <c r="G5" s="18">
        <v>135</v>
      </c>
      <c r="H5" s="27"/>
      <c r="I5" s="28"/>
    </row>
    <row r="6" spans="1:16" ht="18.75" hidden="1" customHeight="1" x14ac:dyDescent="0.4">
      <c r="A6" s="20" t="s">
        <v>38</v>
      </c>
      <c r="B6" s="21" t="str">
        <f>IFERROR(B4+B5,"")</f>
        <v/>
      </c>
      <c r="D6" s="17">
        <f t="shared" ref="D6" si="0">E5+1</f>
        <v>101</v>
      </c>
      <c r="E6" s="17"/>
      <c r="F6" s="17"/>
      <c r="G6" s="18">
        <v>156</v>
      </c>
      <c r="H6" s="27"/>
      <c r="I6" s="28"/>
    </row>
    <row r="7" spans="1:16" ht="18.75" hidden="1" customHeight="1" x14ac:dyDescent="0.4">
      <c r="A7" s="22" t="s">
        <v>12</v>
      </c>
      <c r="B7" s="23" t="str">
        <f>IFERROR(ROUNDDOWN(B6*0.1,0),"")</f>
        <v/>
      </c>
      <c r="D7" s="9" t="s">
        <v>3</v>
      </c>
      <c r="E7" s="28"/>
      <c r="I7" s="29"/>
    </row>
    <row r="8" spans="1:16" ht="18.75" hidden="1" customHeight="1" thickBot="1" x14ac:dyDescent="0.45">
      <c r="A8" s="24" t="s">
        <v>13</v>
      </c>
      <c r="B8" s="25" t="str">
        <f>IFERROR(B6+B7,"")</f>
        <v/>
      </c>
      <c r="C8" s="9" t="s">
        <v>36</v>
      </c>
      <c r="D8" s="9" t="s">
        <v>7</v>
      </c>
      <c r="E8" s="28"/>
      <c r="I8" s="9"/>
    </row>
    <row r="9" spans="1:16" ht="18.75" hidden="1" customHeight="1" x14ac:dyDescent="0.4">
      <c r="C9" s="9">
        <v>1</v>
      </c>
      <c r="D9" s="9">
        <v>10</v>
      </c>
      <c r="E9" s="9">
        <f>IF($B$11&gt;1,F9*$B$11,F9)</f>
        <v>30</v>
      </c>
      <c r="F9" s="9">
        <f>F13/2</f>
        <v>30</v>
      </c>
      <c r="I9" s="9"/>
    </row>
    <row r="10" spans="1:16" ht="18.75" hidden="1" customHeight="1" x14ac:dyDescent="0.4">
      <c r="A10" s="9" t="s">
        <v>32</v>
      </c>
      <c r="B10" s="49">
        <f>料金計算ツール!B3</f>
        <v>2</v>
      </c>
      <c r="D10" s="9">
        <v>31</v>
      </c>
      <c r="E10" s="9">
        <f>IF($B$11&gt;1,F10*$B$11,F10)</f>
        <v>50</v>
      </c>
      <c r="F10" s="9">
        <f>F14/2</f>
        <v>50</v>
      </c>
      <c r="I10" s="9"/>
    </row>
    <row r="11" spans="1:16" ht="18.75" hidden="1" customHeight="1" x14ac:dyDescent="0.4">
      <c r="D11" s="9">
        <v>51</v>
      </c>
      <c r="E11" s="10"/>
      <c r="I11" s="9"/>
    </row>
    <row r="12" spans="1:16" hidden="1" x14ac:dyDescent="0.4">
      <c r="C12" s="9" t="s">
        <v>35</v>
      </c>
    </row>
    <row r="13" spans="1:16" hidden="1" x14ac:dyDescent="0.4">
      <c r="C13" s="9">
        <v>2</v>
      </c>
      <c r="D13" s="9">
        <v>20</v>
      </c>
      <c r="E13" s="9">
        <f>IF($B$11&gt;1,F13*$B$11,F13)</f>
        <v>60</v>
      </c>
      <c r="F13" s="51">
        <v>60</v>
      </c>
    </row>
    <row r="14" spans="1:16" hidden="1" x14ac:dyDescent="0.4">
      <c r="D14" s="9">
        <v>61</v>
      </c>
      <c r="E14" s="9">
        <f>IF($B$11&gt;1,F14*$B$11,F14)</f>
        <v>100</v>
      </c>
      <c r="F14" s="51">
        <v>100</v>
      </c>
    </row>
    <row r="15" spans="1:16" hidden="1" x14ac:dyDescent="0.4">
      <c r="D15" s="9">
        <v>101</v>
      </c>
      <c r="F15" s="51"/>
    </row>
    <row r="16" spans="1:16" hidden="1" x14ac:dyDescent="0.4">
      <c r="C16" s="9" t="s">
        <v>34</v>
      </c>
    </row>
    <row r="17" spans="3:6" hidden="1" x14ac:dyDescent="0.4">
      <c r="C17" s="9">
        <v>3</v>
      </c>
      <c r="D17" s="9">
        <v>30</v>
      </c>
      <c r="E17" s="9">
        <f>IF($B$11&gt;1,F17*$B$11,F17)</f>
        <v>90</v>
      </c>
      <c r="F17" s="9">
        <f>F9*C17</f>
        <v>90</v>
      </c>
    </row>
    <row r="18" spans="3:6" hidden="1" x14ac:dyDescent="0.4">
      <c r="D18" s="9">
        <v>181</v>
      </c>
      <c r="E18" s="9">
        <f>IF($B$11&gt;1,F18*$B$11,F18)</f>
        <v>150</v>
      </c>
      <c r="F18" s="9">
        <f>F10*$C$17</f>
        <v>150</v>
      </c>
    </row>
    <row r="19" spans="3:6" hidden="1" x14ac:dyDescent="0.4">
      <c r="D19" s="9">
        <v>301</v>
      </c>
    </row>
    <row r="20" spans="3:6" hidden="1" x14ac:dyDescent="0.4">
      <c r="C20" s="9" t="s">
        <v>33</v>
      </c>
    </row>
    <row r="21" spans="3:6" hidden="1" x14ac:dyDescent="0.4">
      <c r="C21" s="9">
        <v>4</v>
      </c>
      <c r="D21" s="9">
        <v>40</v>
      </c>
      <c r="E21" s="9">
        <f>IF($B$11&gt;1,F21*$B$11,F21)</f>
        <v>120</v>
      </c>
      <c r="F21" s="9">
        <f>F9*$C$21</f>
        <v>120</v>
      </c>
    </row>
    <row r="22" spans="3:6" hidden="1" x14ac:dyDescent="0.4">
      <c r="D22" s="9">
        <v>241</v>
      </c>
      <c r="E22" s="9">
        <f>IF($B$11&gt;1,F22*$B$11,F22)</f>
        <v>200</v>
      </c>
      <c r="F22" s="9">
        <f>F10*$C$21</f>
        <v>200</v>
      </c>
    </row>
    <row r="23" spans="3:6" hidden="1" x14ac:dyDescent="0.4">
      <c r="D23" s="9">
        <v>401</v>
      </c>
    </row>
  </sheetData>
  <mergeCells count="3">
    <mergeCell ref="A1:B2"/>
    <mergeCell ref="D2:F2"/>
    <mergeCell ref="G2:G3"/>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3"/>
  <sheetViews>
    <sheetView showGridLines="0" topLeftCell="XFD1048576" workbookViewId="0">
      <selection sqref="A1:XFD1048576"/>
    </sheetView>
  </sheetViews>
  <sheetFormatPr defaultColWidth="0" defaultRowHeight="18.75" zeroHeight="1" x14ac:dyDescent="0.4"/>
  <cols>
    <col min="1" max="1" width="15.375" style="9" hidden="1" customWidth="1"/>
    <col min="2" max="2" width="19.25" style="26" hidden="1" customWidth="1"/>
    <col min="3" max="8" width="9" style="9" hidden="1" customWidth="1"/>
    <col min="9" max="9" width="9" style="10" hidden="1" customWidth="1"/>
    <col min="10" max="16384" width="9" style="9" hidden="1"/>
  </cols>
  <sheetData>
    <row r="1" spans="1:16" ht="18.75" hidden="1" customHeight="1" x14ac:dyDescent="0.4">
      <c r="A1" s="78" t="s">
        <v>14</v>
      </c>
      <c r="B1" s="84"/>
      <c r="D1" s="9" t="s">
        <v>39</v>
      </c>
      <c r="G1" s="43" t="s">
        <v>25</v>
      </c>
      <c r="I1" s="10">
        <f>IF(B10=0.5,J2,IF(B10=1,K2,IF(B10=1.5,L2,IF(B10=2,M2,IF(B10=2.5,N2,IF(B10=3,O2,IF(B10=3.5,P2,"")))))))</f>
        <v>2000</v>
      </c>
      <c r="J1" s="48">
        <v>0.5</v>
      </c>
      <c r="K1" s="48">
        <v>1</v>
      </c>
      <c r="L1" s="48">
        <v>1.5</v>
      </c>
      <c r="M1" s="48">
        <v>2</v>
      </c>
      <c r="N1" s="48">
        <v>2.5</v>
      </c>
      <c r="O1" s="48">
        <v>3</v>
      </c>
      <c r="P1" s="48">
        <v>3.5</v>
      </c>
    </row>
    <row r="2" spans="1:16" ht="18.75" hidden="1" customHeight="1" thickBot="1" x14ac:dyDescent="0.45">
      <c r="A2" s="85"/>
      <c r="B2" s="86"/>
      <c r="D2" s="80" t="s">
        <v>3</v>
      </c>
      <c r="E2" s="81"/>
      <c r="F2" s="82"/>
      <c r="G2" s="83" t="s">
        <v>4</v>
      </c>
      <c r="J2" s="9">
        <f>ROUNDDOWN(K2/2,0)</f>
        <v>500</v>
      </c>
      <c r="K2" s="9">
        <v>1000</v>
      </c>
      <c r="L2" s="9">
        <f>ROUNDDOWN(K2*1.5,0)</f>
        <v>1500</v>
      </c>
      <c r="M2" s="9">
        <f>ROUNDDOWN(K2*2,0)</f>
        <v>2000</v>
      </c>
      <c r="N2" s="9">
        <f>ROUNDDOWN(K2*2.5,0)</f>
        <v>2500</v>
      </c>
      <c r="O2" s="9">
        <f>ROUNDDOWN(K2*3,)</f>
        <v>3000</v>
      </c>
      <c r="P2" s="9">
        <f>ROUNDDOWN(K2*3.5,0)</f>
        <v>3500</v>
      </c>
    </row>
    <row r="3" spans="1:16" ht="18.75" hidden="1" customHeight="1" thickBot="1" x14ac:dyDescent="0.45">
      <c r="A3" s="11" t="s">
        <v>6</v>
      </c>
      <c r="B3" s="13" t="str">
        <f>IF(料金計算ツール!B4=料金計算ツール!H7,料金計算ツール!B6,"")</f>
        <v/>
      </c>
      <c r="D3" s="53" t="s">
        <v>7</v>
      </c>
      <c r="E3" s="53" t="s">
        <v>8</v>
      </c>
      <c r="F3" s="53" t="s">
        <v>9</v>
      </c>
      <c r="G3" s="83"/>
    </row>
    <row r="4" spans="1:16" ht="18.75" hidden="1" customHeight="1" thickBot="1" x14ac:dyDescent="0.45">
      <c r="A4" s="15" t="s">
        <v>10</v>
      </c>
      <c r="B4" s="16">
        <f>IFERROR(IF(B11&gt;1,I2,I1),"")</f>
        <v>2000</v>
      </c>
      <c r="D4" s="17">
        <f>IF(OR($B$10=0.5,$B$10=1),D9,IF(OR($B$10=1.5,$B$10=2),D13,IF(OR($B$10=2.5,$B$10=3),D17,IF($B$10=3.5,D21,""))))</f>
        <v>20</v>
      </c>
      <c r="E4" s="17">
        <f>IF(OR($B$10=0.5,$B$10=1),E9,IF(OR($B$10=1.5,$B$10=2),E13,IF(OR($B$10=2.5,$B$10=3),E17,IF($B$10=3.5,E21,""))))</f>
        <v>60</v>
      </c>
      <c r="F4" s="17">
        <f>IF(OR($B$10=0.5,$B$10=1),D9,IF(OR($B$10=1.5,$B$10=2),D13,IF(OR($B$10=2.5,$B$10=3),D17,IF($B$10=3.5,D21,""))))</f>
        <v>20</v>
      </c>
      <c r="G4" s="18">
        <v>120</v>
      </c>
      <c r="H4" s="27"/>
      <c r="I4" s="28"/>
    </row>
    <row r="5" spans="1:16" ht="18.75" hidden="1" customHeight="1" thickBot="1" x14ac:dyDescent="0.45">
      <c r="A5" s="15" t="s">
        <v>11</v>
      </c>
      <c r="B5" s="19" t="str">
        <f>IFERROR(IF(B3&gt;D4,SUM(MAX(MIN(B3,E4)-F4,0)*G4,MAX(MIN(E5,B3)-E4,0)*G5,MAX(B3-E5,0)*G6),0),"")</f>
        <v/>
      </c>
      <c r="D5" s="17">
        <f>E4+1</f>
        <v>61</v>
      </c>
      <c r="E5" s="17">
        <f>IF(OR($B$10=0.5,$B$10=1),E10,IF(OR($B$10=1.5,$B$10=2),E14,IF(OR($B$10=2.5,$B$10=3),E18,IF($B$10=3.5,E22,""))))</f>
        <v>100</v>
      </c>
      <c r="F5" s="17">
        <f>E5-E4</f>
        <v>40</v>
      </c>
      <c r="G5" s="18">
        <v>150</v>
      </c>
      <c r="H5" s="27"/>
      <c r="I5" s="28"/>
    </row>
    <row r="6" spans="1:16" ht="18.75" hidden="1" customHeight="1" x14ac:dyDescent="0.4">
      <c r="A6" s="20" t="s">
        <v>38</v>
      </c>
      <c r="B6" s="21" t="str">
        <f>IFERROR(B4+B5,"")</f>
        <v/>
      </c>
      <c r="D6" s="17">
        <f t="shared" ref="D6" si="0">E5+1</f>
        <v>101</v>
      </c>
      <c r="E6" s="17"/>
      <c r="F6" s="17"/>
      <c r="G6" s="18">
        <v>182</v>
      </c>
      <c r="H6" s="27"/>
      <c r="I6" s="28"/>
    </row>
    <row r="7" spans="1:16" ht="18.75" hidden="1" customHeight="1" x14ac:dyDescent="0.4">
      <c r="A7" s="22" t="s">
        <v>12</v>
      </c>
      <c r="B7" s="23" t="str">
        <f>IFERROR(ROUNDDOWN(B6*0.1,0),"")</f>
        <v/>
      </c>
      <c r="D7" s="9" t="s">
        <v>3</v>
      </c>
      <c r="E7" s="28"/>
      <c r="I7" s="29"/>
    </row>
    <row r="8" spans="1:16" ht="18.75" hidden="1" customHeight="1" thickBot="1" x14ac:dyDescent="0.45">
      <c r="A8" s="24" t="s">
        <v>13</v>
      </c>
      <c r="B8" s="25" t="str">
        <f>IFERROR(B6+B7,"")</f>
        <v/>
      </c>
      <c r="C8" s="9" t="s">
        <v>36</v>
      </c>
      <c r="D8" s="9" t="s">
        <v>7</v>
      </c>
      <c r="E8" s="28"/>
      <c r="I8" s="9"/>
    </row>
    <row r="9" spans="1:16" ht="18.75" hidden="1" customHeight="1" x14ac:dyDescent="0.4">
      <c r="C9" s="9">
        <v>1</v>
      </c>
      <c r="D9" s="9">
        <v>10</v>
      </c>
      <c r="E9" s="9">
        <f>IF($B$11&gt;1,F9*$B$11,F9)</f>
        <v>30</v>
      </c>
      <c r="F9" s="9">
        <f>F13/2</f>
        <v>30</v>
      </c>
      <c r="I9" s="9"/>
    </row>
    <row r="10" spans="1:16" ht="18.75" hidden="1" customHeight="1" x14ac:dyDescent="0.4">
      <c r="A10" s="9" t="s">
        <v>32</v>
      </c>
      <c r="B10" s="49">
        <f>料金計算ツール!B3</f>
        <v>2</v>
      </c>
      <c r="D10" s="9">
        <v>31</v>
      </c>
      <c r="E10" s="9">
        <f>IF($B$11&gt;1,F10*$B$11,F10)</f>
        <v>50</v>
      </c>
      <c r="F10" s="9">
        <f>F14/2</f>
        <v>50</v>
      </c>
      <c r="I10" s="9"/>
    </row>
    <row r="11" spans="1:16" ht="18.75" hidden="1" customHeight="1" x14ac:dyDescent="0.4">
      <c r="D11" s="9">
        <v>51</v>
      </c>
      <c r="E11" s="10"/>
      <c r="I11" s="9"/>
    </row>
    <row r="12" spans="1:16" hidden="1" x14ac:dyDescent="0.4">
      <c r="C12" s="9" t="s">
        <v>35</v>
      </c>
    </row>
    <row r="13" spans="1:16" hidden="1" x14ac:dyDescent="0.4">
      <c r="C13" s="9">
        <v>2</v>
      </c>
      <c r="D13" s="9">
        <v>20</v>
      </c>
      <c r="E13" s="9">
        <f>IF($B$11&gt;1,F13*$B$11,F13)</f>
        <v>60</v>
      </c>
      <c r="F13" s="51">
        <v>60</v>
      </c>
    </row>
    <row r="14" spans="1:16" hidden="1" x14ac:dyDescent="0.4">
      <c r="D14" s="9">
        <v>61</v>
      </c>
      <c r="E14" s="9">
        <f>IF($B$11&gt;1,F14*$B$11,F14)</f>
        <v>100</v>
      </c>
      <c r="F14" s="51">
        <v>100</v>
      </c>
    </row>
    <row r="15" spans="1:16" hidden="1" x14ac:dyDescent="0.4">
      <c r="D15" s="9">
        <v>101</v>
      </c>
      <c r="F15" s="51"/>
    </row>
    <row r="16" spans="1:16" hidden="1" x14ac:dyDescent="0.4">
      <c r="C16" s="9" t="s">
        <v>34</v>
      </c>
    </row>
    <row r="17" spans="3:6" hidden="1" x14ac:dyDescent="0.4">
      <c r="C17" s="9">
        <v>3</v>
      </c>
      <c r="D17" s="9">
        <v>30</v>
      </c>
      <c r="E17" s="9">
        <f>IF($B$11&gt;1,F17*$B$11,F17)</f>
        <v>90</v>
      </c>
      <c r="F17" s="9">
        <f>F9*C17</f>
        <v>90</v>
      </c>
    </row>
    <row r="18" spans="3:6" hidden="1" x14ac:dyDescent="0.4">
      <c r="D18" s="9">
        <v>181</v>
      </c>
      <c r="E18" s="9">
        <f>IF($B$11&gt;1,F18*$B$11,F18)</f>
        <v>150</v>
      </c>
      <c r="F18" s="9">
        <f>F10*$C$17</f>
        <v>150</v>
      </c>
    </row>
    <row r="19" spans="3:6" hidden="1" x14ac:dyDescent="0.4">
      <c r="D19" s="9">
        <v>301</v>
      </c>
    </row>
    <row r="20" spans="3:6" hidden="1" x14ac:dyDescent="0.4">
      <c r="C20" s="9" t="s">
        <v>33</v>
      </c>
    </row>
    <row r="21" spans="3:6" hidden="1" x14ac:dyDescent="0.4">
      <c r="C21" s="9">
        <v>4</v>
      </c>
      <c r="D21" s="9">
        <v>40</v>
      </c>
      <c r="E21" s="9">
        <f>IF($B$11&gt;1,F21*$B$11,F21)</f>
        <v>120</v>
      </c>
      <c r="F21" s="9">
        <f>F9*$C$21</f>
        <v>120</v>
      </c>
    </row>
    <row r="22" spans="3:6" hidden="1" x14ac:dyDescent="0.4">
      <c r="D22" s="9">
        <v>241</v>
      </c>
      <c r="E22" s="9">
        <f>IF($B$11&gt;1,F22*$B$11,F22)</f>
        <v>200</v>
      </c>
      <c r="F22" s="9">
        <f>F10*$C$21</f>
        <v>200</v>
      </c>
    </row>
    <row r="23" spans="3:6" hidden="1" x14ac:dyDescent="0.4">
      <c r="D23" s="9">
        <v>401</v>
      </c>
    </row>
  </sheetData>
  <mergeCells count="3">
    <mergeCell ref="A1:B2"/>
    <mergeCell ref="D2:F2"/>
    <mergeCell ref="G2:G3"/>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P23"/>
  <sheetViews>
    <sheetView showGridLines="0" topLeftCell="XFD1048576" workbookViewId="0">
      <selection sqref="A1:XFD1048576"/>
    </sheetView>
  </sheetViews>
  <sheetFormatPr defaultColWidth="0" defaultRowHeight="18.75" zeroHeight="1" x14ac:dyDescent="0.4"/>
  <cols>
    <col min="1" max="1" width="15.375" style="9" hidden="1" customWidth="1"/>
    <col min="2" max="2" width="19.25" style="26" hidden="1" customWidth="1"/>
    <col min="3" max="8" width="9" style="9" hidden="1" customWidth="1"/>
    <col min="9" max="9" width="9" style="10" hidden="1" customWidth="1"/>
    <col min="10" max="16384" width="9" style="9" hidden="1"/>
  </cols>
  <sheetData>
    <row r="1" spans="1:16" ht="18.75" hidden="1" customHeight="1" x14ac:dyDescent="0.4">
      <c r="A1" s="78" t="s">
        <v>14</v>
      </c>
      <c r="B1" s="84"/>
      <c r="D1" s="9" t="s">
        <v>39</v>
      </c>
      <c r="G1" s="43" t="s">
        <v>24</v>
      </c>
      <c r="I1" s="10">
        <f>IF(B10=0.5,J2,IF(B10=1,K2,IF(B10=1.5,L2,IF(B10=2,M2,IF(B10=2.5,N2,IF(B10=3,O2,IF(B10=3.5,P2,"")))))))</f>
        <v>2000</v>
      </c>
      <c r="J1" s="48">
        <v>0.5</v>
      </c>
      <c r="K1" s="48">
        <v>1</v>
      </c>
      <c r="L1" s="48">
        <v>1.5</v>
      </c>
      <c r="M1" s="48">
        <v>2</v>
      </c>
      <c r="N1" s="48">
        <v>2.5</v>
      </c>
      <c r="O1" s="48">
        <v>3</v>
      </c>
      <c r="P1" s="48">
        <v>3.5</v>
      </c>
    </row>
    <row r="2" spans="1:16" ht="18.75" hidden="1" customHeight="1" thickBot="1" x14ac:dyDescent="0.45">
      <c r="A2" s="85"/>
      <c r="B2" s="86"/>
      <c r="D2" s="80" t="s">
        <v>3</v>
      </c>
      <c r="E2" s="81"/>
      <c r="F2" s="82"/>
      <c r="G2" s="83" t="s">
        <v>4</v>
      </c>
      <c r="J2" s="9">
        <f>ROUNDDOWN(K2/2,0)</f>
        <v>500</v>
      </c>
      <c r="K2" s="9">
        <v>1000</v>
      </c>
      <c r="L2" s="9">
        <f>ROUNDDOWN(K2*1.5,0)</f>
        <v>1500</v>
      </c>
      <c r="M2" s="9">
        <f>ROUNDDOWN(K2*2,0)</f>
        <v>2000</v>
      </c>
      <c r="N2" s="9">
        <f>ROUNDDOWN(K2*2.5,0)</f>
        <v>2500</v>
      </c>
      <c r="O2" s="9">
        <f>ROUNDDOWN(K2*3,)</f>
        <v>3000</v>
      </c>
      <c r="P2" s="9">
        <f>ROUNDDOWN(K2*3.5,0)</f>
        <v>3500</v>
      </c>
    </row>
    <row r="3" spans="1:16" ht="18.75" hidden="1" customHeight="1" thickBot="1" x14ac:dyDescent="0.45">
      <c r="A3" s="11" t="s">
        <v>6</v>
      </c>
      <c r="B3" s="13" t="str">
        <f>IF(料金計算ツール!B4=料金計算ツール!H8,料金計算ツール!B6,"")</f>
        <v/>
      </c>
      <c r="D3" s="14" t="s">
        <v>7</v>
      </c>
      <c r="E3" s="14" t="s">
        <v>8</v>
      </c>
      <c r="F3" s="14" t="s">
        <v>9</v>
      </c>
      <c r="G3" s="83"/>
    </row>
    <row r="4" spans="1:16" ht="18.75" hidden="1" customHeight="1" thickBot="1" x14ac:dyDescent="0.45">
      <c r="A4" s="15" t="s">
        <v>10</v>
      </c>
      <c r="B4" s="16">
        <f>IFERROR(IF(B11&gt;1,I2,I1),"")</f>
        <v>2000</v>
      </c>
      <c r="D4" s="17">
        <f>IF(OR($B$10=0.5,$B$10=1),D9,IF(OR($B$10=1.5,$B$10=2),D13,IF(OR($B$10=2.5,$B$10=3),D17,IF($B$10=3.5,D21,""))))</f>
        <v>20</v>
      </c>
      <c r="E4" s="17">
        <f>IF(OR($B$10=0.5,$B$10=1),E9,IF(OR($B$10=1.5,$B$10=2),E13,IF(OR($B$10=2.5,$B$10=3),E17,IF($B$10=3.5,E21,""))))</f>
        <v>60</v>
      </c>
      <c r="F4" s="17">
        <f>IF(OR($B$10=0.5,$B$10=1),D9,IF(OR($B$10=1.5,$B$10=2),D13,IF(OR($B$10=2.5,$B$10=3),D17,IF($B$10=3.5,D21,""))))</f>
        <v>20</v>
      </c>
      <c r="G4" s="18">
        <v>120</v>
      </c>
      <c r="H4" s="27"/>
      <c r="I4" s="28"/>
    </row>
    <row r="5" spans="1:16" ht="18.75" hidden="1" customHeight="1" thickBot="1" x14ac:dyDescent="0.45">
      <c r="A5" s="15" t="s">
        <v>11</v>
      </c>
      <c r="B5" s="19" t="str">
        <f>IFERROR(IF(B3&gt;D4,SUM(MAX(MIN(B3,E4)-F4,0)*G4,MAX(MIN(E5,B3)-E4,0)*G5,MAX(B3-E5,0)*G6),0),"")</f>
        <v/>
      </c>
      <c r="D5" s="17">
        <f>E4+1</f>
        <v>61</v>
      </c>
      <c r="E5" s="17">
        <f>IF(OR($B$10=0.5,$B$10=1),E10,IF(OR($B$10=1.5,$B$10=2),E14,IF(OR($B$10=2.5,$B$10=3),E18,IF($B$10=3.5,E22,""))))</f>
        <v>100</v>
      </c>
      <c r="F5" s="17">
        <f>E5-E4</f>
        <v>40</v>
      </c>
      <c r="G5" s="18">
        <v>150</v>
      </c>
      <c r="H5" s="27"/>
      <c r="I5" s="28"/>
    </row>
    <row r="6" spans="1:16" ht="18.75" hidden="1" customHeight="1" x14ac:dyDescent="0.4">
      <c r="A6" s="20" t="s">
        <v>38</v>
      </c>
      <c r="B6" s="21" t="str">
        <f>IFERROR(B4+B5,"")</f>
        <v/>
      </c>
      <c r="D6" s="17">
        <f t="shared" ref="D6" si="0">E5+1</f>
        <v>101</v>
      </c>
      <c r="E6" s="17"/>
      <c r="F6" s="17"/>
      <c r="G6" s="18">
        <v>180</v>
      </c>
      <c r="H6" s="27"/>
      <c r="I6" s="28"/>
    </row>
    <row r="7" spans="1:16" ht="18.75" hidden="1" customHeight="1" x14ac:dyDescent="0.4">
      <c r="A7" s="22" t="s">
        <v>12</v>
      </c>
      <c r="B7" s="23" t="str">
        <f>IFERROR(ROUNDDOWN(B6*0.1,0),"")</f>
        <v/>
      </c>
      <c r="D7" s="9" t="s">
        <v>3</v>
      </c>
      <c r="E7" s="28"/>
      <c r="I7" s="29"/>
    </row>
    <row r="8" spans="1:16" ht="18.75" hidden="1" customHeight="1" thickBot="1" x14ac:dyDescent="0.45">
      <c r="A8" s="24" t="s">
        <v>13</v>
      </c>
      <c r="B8" s="25" t="str">
        <f>IFERROR(B6+B7,"")</f>
        <v/>
      </c>
      <c r="C8" s="9" t="s">
        <v>36</v>
      </c>
      <c r="D8" s="9" t="s">
        <v>7</v>
      </c>
      <c r="E8" s="28"/>
      <c r="I8" s="9"/>
    </row>
    <row r="9" spans="1:16" ht="18.75" hidden="1" customHeight="1" x14ac:dyDescent="0.4">
      <c r="C9" s="9">
        <v>1</v>
      </c>
      <c r="D9" s="9">
        <v>10</v>
      </c>
      <c r="E9" s="9">
        <f>IF($B$11&gt;1,F9*$B$11,F9)</f>
        <v>30</v>
      </c>
      <c r="F9" s="9">
        <f>F13/2</f>
        <v>30</v>
      </c>
      <c r="I9" s="9"/>
    </row>
    <row r="10" spans="1:16" ht="18.75" hidden="1" customHeight="1" x14ac:dyDescent="0.4">
      <c r="A10" s="9" t="s">
        <v>32</v>
      </c>
      <c r="B10" s="49">
        <f>料金計算ツール!B3</f>
        <v>2</v>
      </c>
      <c r="D10" s="9">
        <v>31</v>
      </c>
      <c r="E10" s="9">
        <f>IF($B$11&gt;1,F10*$B$11,F10)</f>
        <v>50</v>
      </c>
      <c r="F10" s="9">
        <f>F14/2</f>
        <v>50</v>
      </c>
      <c r="I10" s="9"/>
    </row>
    <row r="11" spans="1:16" ht="18.75" hidden="1" customHeight="1" x14ac:dyDescent="0.4">
      <c r="D11" s="9">
        <v>51</v>
      </c>
      <c r="E11" s="10"/>
      <c r="I11" s="9"/>
    </row>
    <row r="12" spans="1:16" hidden="1" x14ac:dyDescent="0.4">
      <c r="C12" s="9" t="s">
        <v>35</v>
      </c>
    </row>
    <row r="13" spans="1:16" hidden="1" x14ac:dyDescent="0.4">
      <c r="C13" s="9">
        <v>2</v>
      </c>
      <c r="D13" s="9">
        <v>20</v>
      </c>
      <c r="E13" s="9">
        <f>IF($B$11&gt;1,F13*$B$11,F13)</f>
        <v>60</v>
      </c>
      <c r="F13" s="51">
        <v>60</v>
      </c>
    </row>
    <row r="14" spans="1:16" hidden="1" x14ac:dyDescent="0.4">
      <c r="D14" s="9">
        <v>61</v>
      </c>
      <c r="E14" s="9">
        <f>IF($B$11&gt;1,F14*$B$11,F14)</f>
        <v>100</v>
      </c>
      <c r="F14" s="51">
        <v>100</v>
      </c>
    </row>
    <row r="15" spans="1:16" hidden="1" x14ac:dyDescent="0.4">
      <c r="D15" s="9">
        <v>101</v>
      </c>
      <c r="F15" s="51"/>
    </row>
    <row r="16" spans="1:16" hidden="1" x14ac:dyDescent="0.4">
      <c r="C16" s="9" t="s">
        <v>34</v>
      </c>
    </row>
    <row r="17" spans="3:6" hidden="1" x14ac:dyDescent="0.4">
      <c r="C17" s="9">
        <v>3</v>
      </c>
      <c r="D17" s="9">
        <v>30</v>
      </c>
      <c r="E17" s="9">
        <f>IF($B$11&gt;1,F17*$B$11,F17)</f>
        <v>90</v>
      </c>
      <c r="F17" s="9">
        <f>F9*$C$17</f>
        <v>90</v>
      </c>
    </row>
    <row r="18" spans="3:6" hidden="1" x14ac:dyDescent="0.4">
      <c r="D18" s="9">
        <v>181</v>
      </c>
      <c r="E18" s="9">
        <f>IF($B$11&gt;1,F18*$B$11,F18)</f>
        <v>150</v>
      </c>
      <c r="F18" s="9">
        <f>F10*$C$17</f>
        <v>150</v>
      </c>
    </row>
    <row r="19" spans="3:6" hidden="1" x14ac:dyDescent="0.4">
      <c r="D19" s="9">
        <v>301</v>
      </c>
    </row>
    <row r="20" spans="3:6" hidden="1" x14ac:dyDescent="0.4">
      <c r="C20" s="9" t="s">
        <v>33</v>
      </c>
    </row>
    <row r="21" spans="3:6" hidden="1" x14ac:dyDescent="0.4">
      <c r="C21" s="9">
        <v>4</v>
      </c>
      <c r="D21" s="9">
        <v>40</v>
      </c>
      <c r="E21" s="9">
        <f>IF($B$11&gt;1,F21*$B$11,F21)</f>
        <v>120</v>
      </c>
      <c r="F21" s="9">
        <f>F9*$C$21</f>
        <v>120</v>
      </c>
    </row>
    <row r="22" spans="3:6" hidden="1" x14ac:dyDescent="0.4">
      <c r="D22" s="9">
        <v>241</v>
      </c>
      <c r="E22" s="9">
        <f>IF($B$11&gt;1,F22*$B$11,F22)</f>
        <v>200</v>
      </c>
      <c r="F22" s="9">
        <f>F10*$C$21</f>
        <v>200</v>
      </c>
    </row>
    <row r="23" spans="3:6" hidden="1" x14ac:dyDescent="0.4">
      <c r="D23" s="9">
        <v>401</v>
      </c>
    </row>
  </sheetData>
  <mergeCells count="3">
    <mergeCell ref="A1:B2"/>
    <mergeCell ref="D2:F2"/>
    <mergeCell ref="G2:G3"/>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23"/>
  <sheetViews>
    <sheetView showGridLines="0" showRowColHeaders="0" tabSelected="1" zoomScaleNormal="100" workbookViewId="0">
      <selection activeCell="B3" sqref="B3"/>
    </sheetView>
  </sheetViews>
  <sheetFormatPr defaultRowHeight="16.5" x14ac:dyDescent="0.4"/>
  <cols>
    <col min="1" max="1" width="18.625" style="2" bestFit="1" customWidth="1"/>
    <col min="2" max="2" width="22.625" style="2" customWidth="1"/>
    <col min="3" max="3" width="13.625" style="2" customWidth="1"/>
    <col min="4" max="4" width="26.625" style="2" customWidth="1"/>
    <col min="5" max="6" width="25.625" style="2" customWidth="1"/>
    <col min="7" max="7" width="13" style="2" customWidth="1"/>
    <col min="8" max="8" width="21.375" style="3" hidden="1" customWidth="1"/>
    <col min="9" max="9" width="10.75" style="4" hidden="1" customWidth="1"/>
    <col min="10" max="16384" width="9" style="2"/>
  </cols>
  <sheetData>
    <row r="1" spans="1:9" ht="21" x14ac:dyDescent="0.4">
      <c r="A1" s="45" t="s">
        <v>51</v>
      </c>
      <c r="F1" s="47"/>
    </row>
    <row r="2" spans="1:9" x14ac:dyDescent="0.4">
      <c r="A2" s="2" t="s">
        <v>30</v>
      </c>
    </row>
    <row r="3" spans="1:9" ht="23.1" customHeight="1" x14ac:dyDescent="0.4">
      <c r="A3" s="77" t="s">
        <v>45</v>
      </c>
      <c r="B3" s="68">
        <v>2</v>
      </c>
    </row>
    <row r="4" spans="1:9" ht="23.1" customHeight="1" thickBot="1" x14ac:dyDescent="0.45">
      <c r="A4" s="77" t="s">
        <v>42</v>
      </c>
      <c r="B4" s="67"/>
      <c r="C4" s="71"/>
      <c r="D4" s="60" t="s">
        <v>15</v>
      </c>
      <c r="E4" s="60" t="s">
        <v>17</v>
      </c>
      <c r="F4" s="61" t="s">
        <v>18</v>
      </c>
    </row>
    <row r="5" spans="1:9" ht="23.1" customHeight="1" thickBot="1" x14ac:dyDescent="0.45">
      <c r="A5" s="77" t="s">
        <v>43</v>
      </c>
      <c r="B5" s="69"/>
      <c r="C5" s="56" t="str">
        <f>IF(H9&gt;0,"今回請求額","計算結果")</f>
        <v>計算結果</v>
      </c>
      <c r="D5" s="57">
        <f>IFERROR(IF(OR(B4=H5,B4=H6,B4=H7,B4=H8),'2.5'!B8,0),"①・②・③を選択して下さい。")</f>
        <v>0</v>
      </c>
      <c r="E5" s="58">
        <f>MAX(E11,E12,E13,E14)</f>
        <v>0</v>
      </c>
      <c r="F5" s="59">
        <f>IFERROR(D5+E5,"")</f>
        <v>0</v>
      </c>
      <c r="G5" s="5"/>
      <c r="H5" s="3" t="s">
        <v>19</v>
      </c>
      <c r="I5" s="4">
        <v>13</v>
      </c>
    </row>
    <row r="6" spans="1:9" ht="23.1" customHeight="1" x14ac:dyDescent="0.4">
      <c r="A6" s="77" t="s">
        <v>44</v>
      </c>
      <c r="B6" s="70"/>
      <c r="C6" s="62" t="str">
        <f>IF(H9&gt;0,"減額前請求額","")</f>
        <v/>
      </c>
      <c r="D6" s="73" t="str">
        <f>IF(H9&gt;0,F11,"")</f>
        <v/>
      </c>
      <c r="E6" s="76" t="str">
        <f>IF(H9&gt;0,E5,"")</f>
        <v/>
      </c>
      <c r="F6" s="63" t="str">
        <f>IFERROR(D6+E5,"")</f>
        <v/>
      </c>
      <c r="G6" s="5"/>
      <c r="H6" s="3" t="s">
        <v>20</v>
      </c>
      <c r="I6" s="4">
        <v>20</v>
      </c>
    </row>
    <row r="7" spans="1:9" ht="23.1" customHeight="1" x14ac:dyDescent="0.4">
      <c r="A7" s="1"/>
      <c r="B7" s="54"/>
      <c r="C7" s="64" t="str">
        <f>IF(H9&gt;0,"減額分","")</f>
        <v/>
      </c>
      <c r="D7" s="74" t="str">
        <f>IFERROR(D5-D6,"")</f>
        <v/>
      </c>
      <c r="E7" s="65" t="str">
        <f>IF(H9&gt;0,"－","")</f>
        <v/>
      </c>
      <c r="F7" s="66" t="str">
        <f>IFERROR(F5-F6,"")</f>
        <v/>
      </c>
      <c r="H7" s="3" t="s">
        <v>16</v>
      </c>
      <c r="I7" s="4">
        <v>25</v>
      </c>
    </row>
    <row r="8" spans="1:9" ht="23.1" customHeight="1" x14ac:dyDescent="0.4">
      <c r="A8" s="87" t="str">
        <f>IF(AND($B$4=$H$5)*OR(B5=I5,B5=I6),"※甲府市にある水道で口径が13mm・20mmの方のみ、令和8年4月検針分から令和9年1月検針分まで減額適用されます。","")</f>
        <v/>
      </c>
      <c r="B8" s="87"/>
      <c r="C8" s="87"/>
      <c r="D8" s="87"/>
      <c r="E8" s="87"/>
      <c r="F8" s="87"/>
      <c r="H8" s="3" t="s">
        <v>21</v>
      </c>
      <c r="I8" s="4">
        <v>40</v>
      </c>
    </row>
    <row r="9" spans="1:9" ht="23.1" hidden="1" customHeight="1" x14ac:dyDescent="0.4">
      <c r="A9" s="46" t="str">
        <f>IF(AND($B$4=$H$5)*OR(B5=I5,B5=I6),"（集合住宅等で管理会社へ支払いをしている方は管理会社へお問い合わせください。）","")</f>
        <v/>
      </c>
      <c r="B9" s="46"/>
      <c r="C9" s="46"/>
      <c r="D9" s="46"/>
      <c r="E9" s="46"/>
      <c r="F9" s="46"/>
      <c r="H9" s="55">
        <f>MAX(F11,F12,F13,F14)</f>
        <v>0</v>
      </c>
      <c r="I9" s="4">
        <v>50</v>
      </c>
    </row>
    <row r="10" spans="1:9" hidden="1" x14ac:dyDescent="0.4">
      <c r="A10" s="7"/>
      <c r="B10" s="7"/>
      <c r="C10" s="7"/>
      <c r="D10" s="6"/>
      <c r="E10" s="2" t="s">
        <v>47</v>
      </c>
      <c r="F10" s="2" t="s">
        <v>48</v>
      </c>
      <c r="I10" s="4">
        <v>75</v>
      </c>
    </row>
    <row r="11" spans="1:9" hidden="1" x14ac:dyDescent="0.4">
      <c r="D11" s="2" t="str">
        <f>H5</f>
        <v>甲府市</v>
      </c>
      <c r="E11" s="8" t="str">
        <f>IF(AND(B4=H5,B7&lt;3),'3'!B8,"")</f>
        <v/>
      </c>
      <c r="F11" s="8" t="str">
        <f>IF(AND(B4=H5)*OR(B5=I5,B5=I6),'2'!B8,"")</f>
        <v/>
      </c>
      <c r="G11" s="75"/>
      <c r="I11" s="4">
        <v>100</v>
      </c>
    </row>
    <row r="12" spans="1:9" hidden="1" x14ac:dyDescent="0.4">
      <c r="D12" s="2" t="str">
        <f t="shared" ref="D12:D14" si="0">H6</f>
        <v>甲斐市（旧敷島地区）</v>
      </c>
      <c r="E12" s="8" t="str">
        <f>IF(AND(B4=H6,B7&lt;2),'4.5'!B8,"")</f>
        <v/>
      </c>
      <c r="F12" s="8"/>
      <c r="I12" s="4">
        <v>150</v>
      </c>
    </row>
    <row r="13" spans="1:9" hidden="1" x14ac:dyDescent="0.4">
      <c r="D13" s="2" t="str">
        <f t="shared" si="0"/>
        <v>中央市（旧玉穂地区）</v>
      </c>
      <c r="E13" s="8" t="str">
        <f>IF(AND(B4=H7,B7&lt;2),'5.5'!B8,"")</f>
        <v/>
      </c>
      <c r="F13" s="8"/>
      <c r="I13" s="4">
        <v>200</v>
      </c>
    </row>
    <row r="14" spans="1:9" hidden="1" x14ac:dyDescent="0.4">
      <c r="D14" s="2" t="str">
        <f t="shared" si="0"/>
        <v>昭和町</v>
      </c>
      <c r="E14" s="8" t="str">
        <f>IF(AND(B4=H8,B7&lt;2),'6'!B8,"")</f>
        <v/>
      </c>
      <c r="F14" s="8"/>
      <c r="I14" s="4" t="s">
        <v>23</v>
      </c>
    </row>
    <row r="15" spans="1:9" x14ac:dyDescent="0.4">
      <c r="A15" s="2" t="s">
        <v>52</v>
      </c>
    </row>
    <row r="16" spans="1:9" x14ac:dyDescent="0.4">
      <c r="A16" s="2" t="s">
        <v>31</v>
      </c>
    </row>
    <row r="17" spans="1:8" ht="16.5" customHeight="1" x14ac:dyDescent="0.4">
      <c r="A17" s="2" t="s">
        <v>50</v>
      </c>
      <c r="H17" s="52">
        <v>2</v>
      </c>
    </row>
    <row r="18" spans="1:8" ht="16.5" customHeight="1" x14ac:dyDescent="0.4">
      <c r="A18" s="44" t="s">
        <v>49</v>
      </c>
      <c r="H18" s="52">
        <v>0.5</v>
      </c>
    </row>
    <row r="19" spans="1:8" x14ac:dyDescent="0.4">
      <c r="E19" s="5"/>
      <c r="H19" s="52">
        <v>1</v>
      </c>
    </row>
    <row r="20" spans="1:8" x14ac:dyDescent="0.4">
      <c r="H20" s="52">
        <v>1.5</v>
      </c>
    </row>
    <row r="21" spans="1:8" x14ac:dyDescent="0.4">
      <c r="H21" s="52">
        <v>2.5</v>
      </c>
    </row>
    <row r="22" spans="1:8" x14ac:dyDescent="0.4">
      <c r="H22" s="52">
        <v>3</v>
      </c>
    </row>
    <row r="23" spans="1:8" x14ac:dyDescent="0.4">
      <c r="H23" s="52">
        <v>3.5</v>
      </c>
    </row>
  </sheetData>
  <sheetProtection algorithmName="SHA-512" hashValue="QEKpgRLBqzBJ99bLsgjMibxOhYw5lUoD7mzVREuf/RQ8oWanEJCpu+h3Kl7QAGwoFzx0BXhBOfh6KvbEtCLvfg==" saltValue="X5r3GcbSNQmY6bFUbCvKcQ==" spinCount="100000" sheet="1" selectLockedCells="1"/>
  <mergeCells count="1">
    <mergeCell ref="A8:F8"/>
  </mergeCells>
  <phoneticPr fontId="3"/>
  <conditionalFormatting sqref="A8:A10">
    <cfRule type="expression" dxfId="1" priority="2">
      <formula>A8="※甲斐市下水道使用料は、令和6年7月検針分から新料金適用です。（令和6年5月検針分は現行料金適用です。）"</formula>
    </cfRule>
  </conditionalFormatting>
  <conditionalFormatting sqref="D5">
    <cfRule type="expression" dxfId="0" priority="1">
      <formula>$D$5="①・②・③を選択して下さい。"</formula>
    </cfRule>
  </conditionalFormatting>
  <dataValidations count="6">
    <dataValidation type="list" imeMode="disabled" allowBlank="1" showInputMessage="1" showErrorMessage="1" errorTitle="地域選択エラー" error="使用される地域を選択して下さい。（キャンセルを押してから選択してください）" sqref="B4" xr:uid="{00000000-0002-0000-0700-000000000000}">
      <formula1>$H$5:$H$8</formula1>
    </dataValidation>
    <dataValidation type="whole" imeMode="halfAlpha" operator="greaterThanOrEqual" allowBlank="1" showInputMessage="1" showErrorMessage="1" errorTitle="使用水量入力エラー" error="数値を入力してください。（キャンセルを押してから数値を入力してください）" sqref="B6" xr:uid="{00000000-0002-0000-0700-000001000000}">
      <formula1>0</formula1>
    </dataValidation>
    <dataValidation type="list" imeMode="disabled" allowBlank="1" showInputMessage="1" showErrorMessage="1" errorTitle="メーター口径選択エラー" error="メーター口径を選択してください。（キャンセルを押してから選択してください）" sqref="B5" xr:uid="{00000000-0002-0000-0700-000002000000}">
      <formula1>$I$5:$I$13</formula1>
    </dataValidation>
    <dataValidation type="whole" operator="greaterThanOrEqual" allowBlank="1" showInputMessage="1" showErrorMessage="1" errorTitle="連合戸数入力エラー" error="数値を入力してください。（キャンセルを押してから数値を入力してください）" sqref="B7" xr:uid="{00000000-0002-0000-0700-000003000000}">
      <formula1>0</formula1>
    </dataValidation>
    <dataValidation type="list" allowBlank="1" showInputMessage="1" showErrorMessage="1" errorTitle="月数選択エラー" error="計算する月数を選択して下さい。（キャンセルを押してから選択してください）_x000a_※基本は2.0月を選択してください。" sqref="B3" xr:uid="{00000000-0002-0000-0700-000004000000}">
      <formula1>$H$17:$H$23</formula1>
    </dataValidation>
    <dataValidation imeMode="disabled" allowBlank="1" showInputMessage="1" showErrorMessage="1" errorTitle="地域選択エラー" error="使用される地域を選択して下さい。（キャンセルを押してから選択してください）" sqref="C4" xr:uid="{00000000-0002-0000-0700-000005000000}"/>
  </dataValidations>
  <pageMargins left="0.25" right="0.25" top="0.75" bottom="0.75" header="0.3" footer="0.3"/>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9</vt:i4>
      </vt:variant>
    </vt:vector>
  </HeadingPairs>
  <TitlesOfParts>
    <vt:vector size="9" baseType="lpstr">
      <vt:lpstr>1</vt:lpstr>
      <vt:lpstr>2</vt:lpstr>
      <vt:lpstr>2.5</vt:lpstr>
      <vt:lpstr>3</vt:lpstr>
      <vt:lpstr>4.5</vt:lpstr>
      <vt:lpstr>5</vt:lpstr>
      <vt:lpstr>5.5</vt:lpstr>
      <vt:lpstr>6</vt:lpstr>
      <vt:lpstr>料金計算ツール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J4032</dc:creator>
  <cp:lastModifiedBy>J4032</cp:lastModifiedBy>
  <cp:lastPrinted>2026-01-29T02:54:39Z</cp:lastPrinted>
  <dcterms:created xsi:type="dcterms:W3CDTF">2023-11-13T05:20:15Z</dcterms:created>
  <dcterms:modified xsi:type="dcterms:W3CDTF">2026-01-29T03:48:13Z</dcterms:modified>
</cp:coreProperties>
</file>