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4032\Desktop\料金改定関係\"/>
    </mc:Choice>
  </mc:AlternateContent>
  <workbookProtection workbookAlgorithmName="SHA-512" workbookHashValue="JlI9STighdkDU17FReMTYPbNf0RKQz1VL3F3WyzT0rspKLW2+qMvlkS4LBqkyTARYfmPDEPH7NFynpirUe8HoA==" workbookSaltValue="ZXrypaoCKGbbEDaMl/p4rQ==" workbookSpinCount="100000" lockStructure="1"/>
  <bookViews>
    <workbookView xWindow="0" yWindow="0" windowWidth="20490" windowHeight="6780" firstSheet="7" activeTab="7"/>
  </bookViews>
  <sheets>
    <sheet name="1" sheetId="4" state="hidden" r:id="rId1"/>
    <sheet name="2" sheetId="1" state="hidden" r:id="rId2"/>
    <sheet name="3" sheetId="3" state="hidden" r:id="rId3"/>
    <sheet name="4" sheetId="5" state="hidden" r:id="rId4"/>
    <sheet name="4.5" sheetId="6" state="hidden" r:id="rId5"/>
    <sheet name="5" sheetId="7" state="hidden" r:id="rId6"/>
    <sheet name="6" sheetId="8" state="hidden" r:id="rId7"/>
    <sheet name="料金計算ツール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9" l="1"/>
  <c r="D13" i="9" l="1"/>
  <c r="D12" i="9"/>
  <c r="D11" i="9"/>
  <c r="D10" i="9"/>
  <c r="B2" i="1"/>
  <c r="B3" i="3"/>
  <c r="B3" i="4"/>
  <c r="B5" i="4" s="1"/>
  <c r="B2" i="4"/>
  <c r="B4" i="4" s="1"/>
  <c r="B3" i="8"/>
  <c r="B5" i="8" s="1"/>
  <c r="B6" i="8" s="1"/>
  <c r="B3" i="7"/>
  <c r="B5" i="7" s="1"/>
  <c r="B6" i="7" s="1"/>
  <c r="B3" i="6"/>
  <c r="B3" i="5"/>
  <c r="B3" i="1"/>
  <c r="F5" i="8"/>
  <c r="F5" i="7"/>
  <c r="F10" i="6"/>
  <c r="F9" i="6"/>
  <c r="F8" i="6"/>
  <c r="F7" i="6"/>
  <c r="F6" i="6"/>
  <c r="F5" i="6"/>
  <c r="F10" i="5"/>
  <c r="F9" i="5"/>
  <c r="F8" i="5"/>
  <c r="F7" i="5"/>
  <c r="F6" i="5"/>
  <c r="F5" i="5"/>
  <c r="M10" i="4"/>
  <c r="M9" i="4"/>
  <c r="M8" i="4"/>
  <c r="M7" i="4"/>
  <c r="M6" i="4"/>
  <c r="F6" i="4"/>
  <c r="M5" i="4"/>
  <c r="F5" i="4"/>
  <c r="M4" i="4"/>
  <c r="M3" i="4"/>
  <c r="M2" i="4"/>
  <c r="J8" i="1" l="1"/>
  <c r="I8" i="1" s="1"/>
  <c r="H8" i="1" s="1"/>
  <c r="B4" i="1"/>
  <c r="B5" i="6"/>
  <c r="B6" i="6" s="1"/>
  <c r="B7" i="6" s="1"/>
  <c r="B8" i="6" s="1"/>
  <c r="F11" i="9" s="1"/>
  <c r="B5" i="5"/>
  <c r="B6" i="5" s="1"/>
  <c r="B7" i="5" s="1"/>
  <c r="B8" i="5" s="1"/>
  <c r="E11" i="9" s="1"/>
  <c r="J9" i="1"/>
  <c r="I9" i="1" s="1"/>
  <c r="H9" i="1" s="1"/>
  <c r="B6" i="4"/>
  <c r="B7" i="4" s="1"/>
  <c r="B8" i="4" s="1"/>
  <c r="D6" i="9" s="1"/>
  <c r="B7" i="7"/>
  <c r="B8" i="7" s="1"/>
  <c r="E12" i="9" s="1"/>
  <c r="F12" i="9" s="1"/>
  <c r="B7" i="8"/>
  <c r="B8" i="8" s="1"/>
  <c r="E13" i="9" s="1"/>
  <c r="F13" i="9" s="1"/>
  <c r="J10" i="1" l="1"/>
  <c r="G5" i="1" l="1"/>
  <c r="I10" i="1"/>
  <c r="H10" i="1" s="1"/>
  <c r="G6" i="1" s="1"/>
  <c r="G4" i="1"/>
  <c r="B5" i="1" l="1"/>
  <c r="O10" i="1"/>
  <c r="O9" i="1"/>
  <c r="O8" i="1"/>
  <c r="O7" i="1"/>
  <c r="O6" i="1"/>
  <c r="O5" i="1"/>
  <c r="O4" i="1"/>
  <c r="B6" i="1" l="1"/>
  <c r="F8" i="3"/>
  <c r="F7" i="3"/>
  <c r="F6" i="3"/>
  <c r="F5" i="3"/>
  <c r="B5" i="3"/>
  <c r="B6" i="3" s="1"/>
  <c r="B7" i="3" l="1"/>
  <c r="B8" i="3" s="1"/>
  <c r="E10" i="9" s="1"/>
  <c r="E6" i="9" s="1"/>
  <c r="F6" i="9" s="1"/>
  <c r="F10" i="9" l="1"/>
  <c r="E5" i="9" s="1"/>
  <c r="E7" i="9" s="1"/>
  <c r="F6" i="1"/>
  <c r="F5" i="1"/>
  <c r="O3" i="1"/>
  <c r="O2" i="1"/>
  <c r="B7" i="1" l="1"/>
  <c r="B8" i="1" s="1"/>
  <c r="D5" i="9" s="1"/>
  <c r="F5" i="9" l="1"/>
  <c r="F7" i="9" s="1"/>
  <c r="D7" i="9"/>
</calcChain>
</file>

<file path=xl/sharedStrings.xml><?xml version="1.0" encoding="utf-8"?>
<sst xmlns="http://schemas.openxmlformats.org/spreadsheetml/2006/main" count="132" uniqueCount="49">
  <si>
    <t>新料金計算結果</t>
    <rPh sb="0" eb="3">
      <t>シンリョウキン</t>
    </rPh>
    <rPh sb="3" eb="5">
      <t>ケイサン</t>
    </rPh>
    <rPh sb="5" eb="7">
      <t>ケッカ</t>
    </rPh>
    <phoneticPr fontId="3"/>
  </si>
  <si>
    <t>新水量料金表（2か月：円）</t>
    <rPh sb="0" eb="1">
      <t>シン</t>
    </rPh>
    <rPh sb="1" eb="3">
      <t>スイリョウ</t>
    </rPh>
    <rPh sb="3" eb="5">
      <t>リョウキン</t>
    </rPh>
    <rPh sb="5" eb="6">
      <t>ヒョウ</t>
    </rPh>
    <rPh sb="9" eb="10">
      <t>ゲツ</t>
    </rPh>
    <rPh sb="11" eb="12">
      <t>エン</t>
    </rPh>
    <phoneticPr fontId="3"/>
  </si>
  <si>
    <t>口径</t>
    <rPh sb="0" eb="2">
      <t>コウケイ</t>
    </rPh>
    <phoneticPr fontId="1"/>
  </si>
  <si>
    <t>1か月単価</t>
    <rPh sb="2" eb="3">
      <t>ゲツ</t>
    </rPh>
    <rPh sb="3" eb="5">
      <t>タンカ</t>
    </rPh>
    <phoneticPr fontId="1"/>
  </si>
  <si>
    <t>2か月単価</t>
    <rPh sb="2" eb="3">
      <t>ゲツ</t>
    </rPh>
    <rPh sb="3" eb="5">
      <t>タンカ</t>
    </rPh>
    <phoneticPr fontId="1"/>
  </si>
  <si>
    <t>口径</t>
    <rPh sb="0" eb="2">
      <t>コウケイ</t>
    </rPh>
    <phoneticPr fontId="3"/>
  </si>
  <si>
    <t>水量区分</t>
    <rPh sb="0" eb="2">
      <t>スイリョウ</t>
    </rPh>
    <rPh sb="2" eb="4">
      <t>クブン</t>
    </rPh>
    <phoneticPr fontId="3"/>
  </si>
  <si>
    <t>単価</t>
    <rPh sb="0" eb="2">
      <t>タンカ</t>
    </rPh>
    <phoneticPr fontId="3"/>
  </si>
  <si>
    <t>基本料金（円）</t>
    <rPh sb="0" eb="2">
      <t>キホン</t>
    </rPh>
    <rPh sb="2" eb="4">
      <t>リョウキン</t>
    </rPh>
    <rPh sb="5" eb="6">
      <t>エン</t>
    </rPh>
    <phoneticPr fontId="1"/>
  </si>
  <si>
    <t>使用水量</t>
    <rPh sb="0" eb="2">
      <t>シヨウ</t>
    </rPh>
    <rPh sb="2" eb="4">
      <t>スイリョウ</t>
    </rPh>
    <phoneticPr fontId="3"/>
  </si>
  <si>
    <t>小</t>
    <rPh sb="0" eb="1">
      <t>ショウ</t>
    </rPh>
    <phoneticPr fontId="3"/>
  </si>
  <si>
    <t>大</t>
    <rPh sb="0" eb="1">
      <t>ダイ</t>
    </rPh>
    <phoneticPr fontId="3"/>
  </si>
  <si>
    <t>幅</t>
    <rPh sb="0" eb="1">
      <t>ハバ</t>
    </rPh>
    <phoneticPr fontId="3"/>
  </si>
  <si>
    <t>基本料金</t>
    <rPh sb="0" eb="2">
      <t>キホン</t>
    </rPh>
    <rPh sb="2" eb="4">
      <t>リョウキン</t>
    </rPh>
    <phoneticPr fontId="3"/>
  </si>
  <si>
    <t>水量料金</t>
    <rPh sb="0" eb="2">
      <t>スイリョウ</t>
    </rPh>
    <rPh sb="2" eb="4">
      <t>リョウキン</t>
    </rPh>
    <phoneticPr fontId="3"/>
  </si>
  <si>
    <t>2か月合計</t>
    <rPh sb="2" eb="3">
      <t>ゲツ</t>
    </rPh>
    <rPh sb="3" eb="5">
      <t>ゴウケイ</t>
    </rPh>
    <phoneticPr fontId="3"/>
  </si>
  <si>
    <t>消費税</t>
    <rPh sb="0" eb="3">
      <t>ショウヒゼイ</t>
    </rPh>
    <phoneticPr fontId="3"/>
  </si>
  <si>
    <t>税込</t>
    <rPh sb="0" eb="2">
      <t>ゼイコミ</t>
    </rPh>
    <phoneticPr fontId="3"/>
  </si>
  <si>
    <t>現行計算結果</t>
    <rPh sb="0" eb="2">
      <t>ゲンコウ</t>
    </rPh>
    <rPh sb="2" eb="4">
      <t>ケイサン</t>
    </rPh>
    <rPh sb="4" eb="6">
      <t>ケッカ</t>
    </rPh>
    <phoneticPr fontId="3"/>
  </si>
  <si>
    <t>現行水量料金表（2か月：円）</t>
    <rPh sb="0" eb="2">
      <t>ゲンコウ</t>
    </rPh>
    <rPh sb="2" eb="4">
      <t>スイリョウ</t>
    </rPh>
    <rPh sb="4" eb="6">
      <t>リョウキン</t>
    </rPh>
    <rPh sb="6" eb="7">
      <t>ヒョウ</t>
    </rPh>
    <rPh sb="10" eb="11">
      <t>ゲツ</t>
    </rPh>
    <rPh sb="12" eb="13">
      <t>エン</t>
    </rPh>
    <phoneticPr fontId="3"/>
  </si>
  <si>
    <t>水道料金</t>
    <rPh sb="0" eb="2">
      <t>スイドウ</t>
    </rPh>
    <rPh sb="2" eb="4">
      <t>リョウキン</t>
    </rPh>
    <phoneticPr fontId="3"/>
  </si>
  <si>
    <t>中央市（旧玉穂地区）</t>
    <rPh sb="0" eb="3">
      <t>チュウオウシ</t>
    </rPh>
    <rPh sb="4" eb="5">
      <t>キュウ</t>
    </rPh>
    <rPh sb="5" eb="7">
      <t>タマホ</t>
    </rPh>
    <rPh sb="7" eb="9">
      <t>チク</t>
    </rPh>
    <phoneticPr fontId="3"/>
  </si>
  <si>
    <t>下水道使用料</t>
    <rPh sb="0" eb="3">
      <t>ゲスイドウ</t>
    </rPh>
    <rPh sb="3" eb="6">
      <t>シヨウリョウ</t>
    </rPh>
    <phoneticPr fontId="3"/>
  </si>
  <si>
    <t>合計（税込）</t>
    <rPh sb="0" eb="2">
      <t>ゴウケイ</t>
    </rPh>
    <rPh sb="3" eb="5">
      <t>ゼイコ</t>
    </rPh>
    <phoneticPr fontId="3"/>
  </si>
  <si>
    <t>甲府市</t>
    <rPh sb="0" eb="3">
      <t>コウフシ</t>
    </rPh>
    <phoneticPr fontId="3"/>
  </si>
  <si>
    <t>甲斐市（旧敷島地区）</t>
    <rPh sb="0" eb="3">
      <t>カイシ</t>
    </rPh>
    <rPh sb="4" eb="5">
      <t>キュウ</t>
    </rPh>
    <rPh sb="5" eb="7">
      <t>シキシマ</t>
    </rPh>
    <rPh sb="7" eb="9">
      <t>チク</t>
    </rPh>
    <phoneticPr fontId="3"/>
  </si>
  <si>
    <t>現行料金との差</t>
    <rPh sb="0" eb="4">
      <t>ゲンコウリョウキン</t>
    </rPh>
    <rPh sb="6" eb="7">
      <t>サ</t>
    </rPh>
    <phoneticPr fontId="3"/>
  </si>
  <si>
    <t>昭和町</t>
    <rPh sb="0" eb="3">
      <t>ショウワチョウ</t>
    </rPh>
    <phoneticPr fontId="3"/>
  </si>
  <si>
    <t>下水道</t>
    <rPh sb="0" eb="3">
      <t>ゲスイドウ</t>
    </rPh>
    <phoneticPr fontId="3"/>
  </si>
  <si>
    <t>改定前</t>
    <rPh sb="0" eb="2">
      <t>カイテイ</t>
    </rPh>
    <rPh sb="2" eb="3">
      <t>マエ</t>
    </rPh>
    <phoneticPr fontId="3"/>
  </si>
  <si>
    <t>改定後</t>
    <rPh sb="0" eb="2">
      <t>カイテイ</t>
    </rPh>
    <rPh sb="2" eb="3">
      <t>ゴ</t>
    </rPh>
    <phoneticPr fontId="3"/>
  </si>
  <si>
    <t>以上</t>
    <rPh sb="0" eb="2">
      <t>イジョウ</t>
    </rPh>
    <phoneticPr fontId="3"/>
  </si>
  <si>
    <t>地域選択：</t>
    <rPh sb="0" eb="2">
      <t>チイキ</t>
    </rPh>
    <rPh sb="2" eb="4">
      <t>センタク</t>
    </rPh>
    <phoneticPr fontId="3"/>
  </si>
  <si>
    <t>メーター口径選択：</t>
    <rPh sb="4" eb="6">
      <t>コウケイ</t>
    </rPh>
    <rPh sb="6" eb="8">
      <t>センタク</t>
    </rPh>
    <phoneticPr fontId="3"/>
  </si>
  <si>
    <t>使用水量入力：</t>
    <rPh sb="0" eb="2">
      <t>シヨウ</t>
    </rPh>
    <rPh sb="2" eb="4">
      <t>スイリョウ</t>
    </rPh>
    <rPh sb="4" eb="6">
      <t>ニュウリョク</t>
    </rPh>
    <phoneticPr fontId="3"/>
  </si>
  <si>
    <t xml:space="preserve"> </t>
    <phoneticPr fontId="3"/>
  </si>
  <si>
    <t>昭和町</t>
    <rPh sb="0" eb="3">
      <t>ショウワチョウ</t>
    </rPh>
    <phoneticPr fontId="3"/>
  </si>
  <si>
    <t>中央市</t>
    <rPh sb="0" eb="3">
      <t>チュウオウシ</t>
    </rPh>
    <phoneticPr fontId="3"/>
  </si>
  <si>
    <t>甲斐市（改定後）</t>
    <rPh sb="0" eb="3">
      <t>カイシ</t>
    </rPh>
    <rPh sb="4" eb="6">
      <t>カイテイ</t>
    </rPh>
    <rPh sb="6" eb="7">
      <t>ゴ</t>
    </rPh>
    <phoneticPr fontId="3"/>
  </si>
  <si>
    <t>甲斐市（改定前）</t>
    <rPh sb="0" eb="3">
      <t>カイシ</t>
    </rPh>
    <rPh sb="4" eb="6">
      <t>カイテイ</t>
    </rPh>
    <rPh sb="6" eb="7">
      <t>マエ</t>
    </rPh>
    <phoneticPr fontId="3"/>
  </si>
  <si>
    <t>甲府下水</t>
    <rPh sb="0" eb="2">
      <t>コウフ</t>
    </rPh>
    <rPh sb="2" eb="4">
      <t>ゲスイ</t>
    </rPh>
    <phoneticPr fontId="3"/>
  </si>
  <si>
    <t>水道料金改定後</t>
    <rPh sb="0" eb="2">
      <t>スイドウ</t>
    </rPh>
    <rPh sb="2" eb="4">
      <t>リョウキン</t>
    </rPh>
    <rPh sb="4" eb="6">
      <t>カイテイ</t>
    </rPh>
    <rPh sb="6" eb="7">
      <t>ゴ</t>
    </rPh>
    <phoneticPr fontId="3"/>
  </si>
  <si>
    <t>水道料金改定前</t>
    <rPh sb="0" eb="4">
      <t>スイドウリョウキン</t>
    </rPh>
    <rPh sb="4" eb="6">
      <t>カイテイ</t>
    </rPh>
    <rPh sb="6" eb="7">
      <t>マエ</t>
    </rPh>
    <phoneticPr fontId="3"/>
  </si>
  <si>
    <t>※使用水量未入力時は0㎥で計算します。</t>
    <rPh sb="1" eb="3">
      <t>シヨウ</t>
    </rPh>
    <rPh sb="3" eb="5">
      <t>スイリョウ</t>
    </rPh>
    <rPh sb="5" eb="9">
      <t>ミニュウリョクジ</t>
    </rPh>
    <rPh sb="13" eb="15">
      <t>ケイサン</t>
    </rPh>
    <phoneticPr fontId="3"/>
  </si>
  <si>
    <t>（下水道使用料については、地域選択ごとにそれぞれの市・町の下水道使用料の料金計算をします）</t>
    <rPh sb="1" eb="7">
      <t>ゲスイドウシヨウリョウ</t>
    </rPh>
    <rPh sb="13" eb="15">
      <t>チイキ</t>
    </rPh>
    <rPh sb="15" eb="17">
      <t>センタク</t>
    </rPh>
    <rPh sb="25" eb="26">
      <t>シ</t>
    </rPh>
    <rPh sb="27" eb="28">
      <t>マチ</t>
    </rPh>
    <rPh sb="29" eb="35">
      <t>ゲスイドウシヨウリョウ</t>
    </rPh>
    <rPh sb="36" eb="38">
      <t>リョウキン</t>
    </rPh>
    <rPh sb="38" eb="40">
      <t>ケイサン</t>
    </rPh>
    <phoneticPr fontId="3"/>
  </si>
  <si>
    <t>通常検針（2か月）にて計算</t>
    <rPh sb="0" eb="4">
      <t>ツウジョウケンシン</t>
    </rPh>
    <rPh sb="7" eb="8">
      <t>ゲツ</t>
    </rPh>
    <rPh sb="11" eb="13">
      <t>ケイサン</t>
    </rPh>
    <phoneticPr fontId="3"/>
  </si>
  <si>
    <r>
      <t>甲府市上下水道局　水道料金・下水道使用料　料金計算ツール　　</t>
    </r>
    <r>
      <rPr>
        <sz val="10"/>
        <color theme="1"/>
        <rFont val="Meiryo UI"/>
        <family val="3"/>
        <charset val="128"/>
      </rPr>
      <t>(令和6年1月時点)</t>
    </r>
    <rPh sb="0" eb="8">
      <t>コウフシジョウゲスイドウキョク</t>
    </rPh>
    <rPh sb="9" eb="11">
      <t>スイドウ</t>
    </rPh>
    <rPh sb="11" eb="13">
      <t>リョウキン</t>
    </rPh>
    <rPh sb="14" eb="20">
      <t>ゲスイドウシヨウリョウ</t>
    </rPh>
    <rPh sb="21" eb="25">
      <t>リョウキンケイサン</t>
    </rPh>
    <rPh sb="31" eb="33">
      <t>レイワ</t>
    </rPh>
    <rPh sb="34" eb="35">
      <t>ネン</t>
    </rPh>
    <rPh sb="36" eb="37">
      <t>ガツ</t>
    </rPh>
    <rPh sb="37" eb="39">
      <t>ジテン</t>
    </rPh>
    <phoneticPr fontId="3"/>
  </si>
  <si>
    <t>（注1）共同住宅（連合使用制度）等、特別な料金計算が必要な方は、この料金計算結果とは異なります。</t>
    <rPh sb="1" eb="2">
      <t>チュウ</t>
    </rPh>
    <rPh sb="4" eb="8">
      <t>キョウドウジュウタク</t>
    </rPh>
    <rPh sb="9" eb="11">
      <t>レンゴウ</t>
    </rPh>
    <rPh sb="11" eb="13">
      <t>シヨウ</t>
    </rPh>
    <rPh sb="13" eb="15">
      <t>セイド</t>
    </rPh>
    <rPh sb="16" eb="17">
      <t>トウ</t>
    </rPh>
    <rPh sb="18" eb="20">
      <t>トクベツ</t>
    </rPh>
    <rPh sb="21" eb="25">
      <t>リョウキンケイサン</t>
    </rPh>
    <rPh sb="26" eb="28">
      <t>ヒツヨウ</t>
    </rPh>
    <rPh sb="29" eb="30">
      <t>カタ</t>
    </rPh>
    <rPh sb="34" eb="36">
      <t>リョウキン</t>
    </rPh>
    <rPh sb="36" eb="38">
      <t>ケイサン</t>
    </rPh>
    <rPh sb="38" eb="40">
      <t>ケッカ</t>
    </rPh>
    <rPh sb="42" eb="43">
      <t>コト</t>
    </rPh>
    <phoneticPr fontId="3"/>
  </si>
  <si>
    <t>（注2）下水道を使用していない場合、水道料金のみご確認ください。</t>
    <rPh sb="1" eb="2">
      <t>チュウ</t>
    </rPh>
    <rPh sb="4" eb="7">
      <t>ゲスイドウ</t>
    </rPh>
    <rPh sb="8" eb="10">
      <t>シヨウ</t>
    </rPh>
    <rPh sb="15" eb="17">
      <t>バアイ</t>
    </rPh>
    <rPh sb="18" eb="20">
      <t>スイドウ</t>
    </rPh>
    <rPh sb="20" eb="22">
      <t>リョウキン</t>
    </rPh>
    <rPh sb="25" eb="27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</si>
</sst>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mm&quot;"/>
    <numFmt numFmtId="177" formatCode="#,###&quot;㎥&quot;"/>
    <numFmt numFmtId="178" formatCode="##,##0&quot;㎥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2060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Protection="1">
      <alignment vertical="center"/>
      <protection hidden="1"/>
    </xf>
    <xf numFmtId="176" fontId="7" fillId="0" borderId="0" xfId="0" applyNumberFormat="1" applyFont="1" applyProtection="1">
      <alignment vertical="center"/>
      <protection hidden="1"/>
    </xf>
    <xf numFmtId="38" fontId="7" fillId="0" borderId="0" xfId="0" applyNumberFormat="1" applyFo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176" fontId="7" fillId="3" borderId="0" xfId="0" applyNumberFormat="1" applyFont="1" applyFill="1" applyBorder="1" applyProtection="1">
      <alignment vertical="center"/>
      <protection locked="0"/>
    </xf>
    <xf numFmtId="178" fontId="7" fillId="3" borderId="0" xfId="0" applyNumberFormat="1" applyFont="1" applyFill="1" applyBorder="1" applyProtection="1">
      <alignment vertical="center"/>
      <protection locked="0"/>
    </xf>
    <xf numFmtId="38" fontId="7" fillId="0" borderId="0" xfId="1" applyFont="1" applyProtection="1">
      <alignment vertical="center"/>
      <protection hidden="1"/>
    </xf>
    <xf numFmtId="38" fontId="7" fillId="0" borderId="27" xfId="1" applyFont="1" applyBorder="1" applyProtection="1">
      <alignment vertical="center"/>
      <protection hidden="1"/>
    </xf>
    <xf numFmtId="38" fontId="7" fillId="0" borderId="18" xfId="1" applyFont="1" applyBorder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38" fontId="2" fillId="0" borderId="0" xfId="1" applyFont="1" applyProtection="1">
      <alignment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176" fontId="4" fillId="2" borderId="4" xfId="1" applyNumberFormat="1" applyFont="1" applyFill="1" applyBorder="1" applyAlignment="1" applyProtection="1">
      <alignment horizontal="right" vertical="center"/>
      <protection hidden="1"/>
    </xf>
    <xf numFmtId="177" fontId="4" fillId="2" borderId="9" xfId="1" applyNumberFormat="1" applyFont="1" applyFill="1" applyBorder="1" applyAlignment="1" applyProtection="1">
      <alignment horizontal="right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38" fontId="5" fillId="0" borderId="11" xfId="1" applyFont="1" applyBorder="1" applyAlignment="1" applyProtection="1">
      <alignment horizontal="right" vertical="center"/>
      <protection hidden="1"/>
    </xf>
    <xf numFmtId="0" fontId="2" fillId="0" borderId="8" xfId="0" applyFont="1" applyBorder="1" applyProtection="1">
      <alignment vertical="center"/>
      <protection hidden="1"/>
    </xf>
    <xf numFmtId="0" fontId="6" fillId="0" borderId="8" xfId="0" applyFont="1" applyBorder="1" applyProtection="1">
      <alignment vertical="center"/>
      <protection hidden="1"/>
    </xf>
    <xf numFmtId="38" fontId="5" fillId="0" borderId="12" xfId="1" applyFont="1" applyBorder="1" applyAlignment="1" applyProtection="1">
      <alignment horizontal="right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38" fontId="5" fillId="0" borderId="14" xfId="1" applyFont="1" applyBorder="1" applyAlignment="1" applyProtection="1">
      <alignment horizontal="right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38" fontId="5" fillId="0" borderId="16" xfId="1" applyFont="1" applyBorder="1" applyAlignment="1" applyProtection="1">
      <alignment horizontal="right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38" fontId="5" fillId="0" borderId="18" xfId="1" applyFont="1" applyBorder="1" applyAlignment="1" applyProtection="1">
      <alignment horizontal="right" vertical="center"/>
      <protection hidden="1"/>
    </xf>
    <xf numFmtId="38" fontId="2" fillId="0" borderId="0" xfId="1" applyFont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38" fontId="2" fillId="0" borderId="0" xfId="1" applyFont="1" applyBorder="1" applyProtection="1">
      <alignment vertical="center"/>
      <protection hidden="1"/>
    </xf>
    <xf numFmtId="177" fontId="2" fillId="0" borderId="0" xfId="0" applyNumberFormat="1" applyFont="1" applyProtection="1">
      <alignment vertical="center"/>
      <protection hidden="1"/>
    </xf>
    <xf numFmtId="176" fontId="2" fillId="0" borderId="0" xfId="0" applyNumberFormat="1" applyFont="1" applyAlignment="1" applyProtection="1">
      <alignment horizontal="right" vertical="center"/>
      <protection hidden="1"/>
    </xf>
    <xf numFmtId="176" fontId="2" fillId="0" borderId="0" xfId="1" applyNumberFormat="1" applyFont="1" applyAlignment="1" applyProtection="1">
      <alignment horizontal="right"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176" fontId="2" fillId="0" borderId="0" xfId="0" applyNumberFormat="1" applyFont="1" applyFill="1" applyBorder="1" applyAlignment="1" applyProtection="1">
      <alignment horizontal="right" vertical="center"/>
      <protection hidden="1"/>
    </xf>
    <xf numFmtId="176" fontId="2" fillId="0" borderId="0" xfId="1" applyNumberFormat="1" applyFont="1" applyProtection="1">
      <alignment vertical="center"/>
      <protection hidden="1"/>
    </xf>
    <xf numFmtId="0" fontId="6" fillId="0" borderId="5" xfId="0" applyFont="1" applyBorder="1" applyProtection="1">
      <alignment vertical="center"/>
      <protection hidden="1"/>
    </xf>
    <xf numFmtId="0" fontId="6" fillId="0" borderId="23" xfId="0" applyFont="1" applyBorder="1" applyProtection="1">
      <alignment vertical="center"/>
      <protection hidden="1"/>
    </xf>
    <xf numFmtId="0" fontId="2" fillId="0" borderId="24" xfId="0" applyFont="1" applyFill="1" applyBorder="1" applyProtection="1">
      <alignment vertical="center"/>
      <protection hidden="1"/>
    </xf>
    <xf numFmtId="38" fontId="2" fillId="0" borderId="24" xfId="1" applyFont="1" applyBorder="1" applyProtection="1">
      <alignment vertical="center"/>
      <protection hidden="1"/>
    </xf>
    <xf numFmtId="0" fontId="6" fillId="0" borderId="22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38" fontId="5" fillId="0" borderId="0" xfId="1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36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hidden="1"/>
    </xf>
    <xf numFmtId="0" fontId="12" fillId="4" borderId="28" xfId="0" applyFont="1" applyFill="1" applyBorder="1" applyAlignment="1">
      <alignment horizontal="right" vertical="center"/>
    </xf>
    <xf numFmtId="38" fontId="12" fillId="4" borderId="29" xfId="1" applyFont="1" applyFill="1" applyBorder="1" applyProtection="1">
      <alignment vertical="center"/>
      <protection hidden="1"/>
    </xf>
    <xf numFmtId="38" fontId="12" fillId="4" borderId="30" xfId="0" applyNumberFormat="1" applyFont="1" applyFill="1" applyBorder="1" applyProtection="1">
      <alignment vertical="center"/>
      <protection hidden="1"/>
    </xf>
    <xf numFmtId="0" fontId="8" fillId="0" borderId="31" xfId="0" applyFont="1" applyFill="1" applyBorder="1" applyAlignment="1">
      <alignment horizontal="right" vertical="center"/>
    </xf>
    <xf numFmtId="38" fontId="8" fillId="0" borderId="32" xfId="1" applyFont="1" applyFill="1" applyBorder="1" applyProtection="1">
      <alignment vertical="center"/>
      <protection hidden="1"/>
    </xf>
    <xf numFmtId="38" fontId="8" fillId="0" borderId="33" xfId="0" applyNumberFormat="1" applyFont="1" applyFill="1" applyBorder="1" applyProtection="1">
      <alignment vertical="center"/>
      <protection hidden="1"/>
    </xf>
  </cellXfs>
  <cellStyles count="2">
    <cellStyle name="桁区切り" xfId="1" builtinId="6"/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3B0B0"/>
      <color rgb="FFFFC864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1"/>
  <sheetViews>
    <sheetView topLeftCell="A1048576" workbookViewId="0">
      <selection activeCell="B4" sqref="B4:C4"/>
    </sheetView>
  </sheetViews>
  <sheetFormatPr defaultRowHeight="18.75" zeroHeight="1" x14ac:dyDescent="0.4"/>
  <cols>
    <col min="1" max="1" width="15.375" style="17" customWidth="1"/>
    <col min="2" max="2" width="19.25" style="34" bestFit="1" customWidth="1"/>
    <col min="3" max="8" width="9" style="17"/>
    <col min="9" max="9" width="9" style="18"/>
    <col min="10" max="16384" width="9" style="17"/>
  </cols>
  <sheetData>
    <row r="1" spans="1:13" ht="18.75" hidden="1" customHeight="1" thickBot="1" x14ac:dyDescent="0.45">
      <c r="A1" s="56" t="s">
        <v>18</v>
      </c>
      <c r="B1" s="57"/>
      <c r="D1" s="17" t="s">
        <v>19</v>
      </c>
      <c r="G1" s="52" t="s">
        <v>42</v>
      </c>
      <c r="J1" s="17" t="s">
        <v>8</v>
      </c>
      <c r="K1" s="17" t="s">
        <v>2</v>
      </c>
      <c r="L1" s="17" t="s">
        <v>3</v>
      </c>
      <c r="M1" s="17" t="s">
        <v>4</v>
      </c>
    </row>
    <row r="2" spans="1:13" ht="18.75" hidden="1" customHeight="1" thickTop="1" thickBot="1" x14ac:dyDescent="0.45">
      <c r="A2" s="19" t="s">
        <v>5</v>
      </c>
      <c r="B2" s="20">
        <f>料金計算ツール!B5</f>
        <v>0</v>
      </c>
      <c r="D2" s="58" t="s">
        <v>6</v>
      </c>
      <c r="E2" s="59"/>
      <c r="F2" s="60"/>
      <c r="G2" s="61" t="s">
        <v>7</v>
      </c>
      <c r="K2" s="17">
        <v>13</v>
      </c>
      <c r="L2" s="17">
        <v>500</v>
      </c>
      <c r="M2" s="17">
        <f>L2*2</f>
        <v>1000</v>
      </c>
    </row>
    <row r="3" spans="1:13" ht="18.75" hidden="1" customHeight="1" thickBot="1" x14ac:dyDescent="0.45">
      <c r="A3" s="19" t="s">
        <v>9</v>
      </c>
      <c r="B3" s="21">
        <f>料金計算ツール!B6</f>
        <v>0</v>
      </c>
      <c r="D3" s="22" t="s">
        <v>10</v>
      </c>
      <c r="E3" s="22" t="s">
        <v>11</v>
      </c>
      <c r="F3" s="22" t="s">
        <v>12</v>
      </c>
      <c r="G3" s="61"/>
      <c r="K3" s="17">
        <v>20</v>
      </c>
      <c r="L3" s="17">
        <v>900</v>
      </c>
      <c r="M3" s="17">
        <f t="shared" ref="M3:M10" si="0">L3*2</f>
        <v>1800</v>
      </c>
    </row>
    <row r="4" spans="1:13" ht="18.75" hidden="1" customHeight="1" thickBot="1" x14ac:dyDescent="0.45">
      <c r="A4" s="23" t="s">
        <v>13</v>
      </c>
      <c r="B4" s="24" t="e">
        <f>VLOOKUP(B2,K2:M10,3,FALSE)</f>
        <v>#N/A</v>
      </c>
      <c r="D4" s="25">
        <v>1</v>
      </c>
      <c r="E4" s="25">
        <v>20</v>
      </c>
      <c r="F4" s="25">
        <v>20</v>
      </c>
      <c r="G4" s="26">
        <v>59</v>
      </c>
      <c r="K4" s="17">
        <v>25</v>
      </c>
      <c r="L4" s="17">
        <v>2720</v>
      </c>
      <c r="M4" s="17">
        <f t="shared" si="0"/>
        <v>5440</v>
      </c>
    </row>
    <row r="5" spans="1:13" ht="18.75" hidden="1" customHeight="1" thickBot="1" x14ac:dyDescent="0.45">
      <c r="A5" s="23" t="s">
        <v>14</v>
      </c>
      <c r="B5" s="27">
        <f>SUM(MAX(MIN(B3,E4),0)*G4,MAX(MIN(E5,B3)-E4,0)*G5,MAX(MIN(E6,B3)-E5,0)*G6,MAX(B3-E6,0)*G7)</f>
        <v>0</v>
      </c>
      <c r="D5" s="25">
        <v>21</v>
      </c>
      <c r="E5" s="25">
        <v>40</v>
      </c>
      <c r="F5" s="25">
        <f>E5-E4</f>
        <v>20</v>
      </c>
      <c r="G5" s="26">
        <v>158</v>
      </c>
      <c r="K5" s="17">
        <v>40</v>
      </c>
      <c r="L5" s="17">
        <v>6860</v>
      </c>
      <c r="M5" s="17">
        <f t="shared" si="0"/>
        <v>13720</v>
      </c>
    </row>
    <row r="6" spans="1:13" ht="18.75" hidden="1" customHeight="1" x14ac:dyDescent="0.4">
      <c r="A6" s="28" t="s">
        <v>15</v>
      </c>
      <c r="B6" s="29" t="e">
        <f>B4+B5</f>
        <v>#N/A</v>
      </c>
      <c r="D6" s="25">
        <v>41</v>
      </c>
      <c r="E6" s="25">
        <v>120</v>
      </c>
      <c r="F6" s="25">
        <f>E6-E5</f>
        <v>80</v>
      </c>
      <c r="G6" s="26">
        <v>174</v>
      </c>
      <c r="K6" s="17">
        <v>50</v>
      </c>
      <c r="L6" s="17">
        <v>10340</v>
      </c>
      <c r="M6" s="17">
        <f t="shared" si="0"/>
        <v>20680</v>
      </c>
    </row>
    <row r="7" spans="1:13" ht="18.75" hidden="1" customHeight="1" x14ac:dyDescent="0.4">
      <c r="A7" s="30" t="s">
        <v>16</v>
      </c>
      <c r="B7" s="31" t="e">
        <f>ROUNDDOWN(B6*0.1,0)</f>
        <v>#N/A</v>
      </c>
      <c r="D7" s="25">
        <v>121</v>
      </c>
      <c r="E7" s="25"/>
      <c r="F7" s="25"/>
      <c r="G7" s="26">
        <v>217</v>
      </c>
      <c r="K7" s="17">
        <v>75</v>
      </c>
      <c r="L7" s="17">
        <v>23940</v>
      </c>
      <c r="M7" s="17">
        <f t="shared" si="0"/>
        <v>47880</v>
      </c>
    </row>
    <row r="8" spans="1:13" ht="18.75" hidden="1" customHeight="1" thickBot="1" x14ac:dyDescent="0.45">
      <c r="A8" s="32" t="s">
        <v>17</v>
      </c>
      <c r="B8" s="33" t="e">
        <f>B6+B7</f>
        <v>#N/A</v>
      </c>
      <c r="K8" s="17">
        <v>100</v>
      </c>
      <c r="L8" s="17">
        <v>38100</v>
      </c>
      <c r="M8" s="17">
        <f t="shared" si="0"/>
        <v>76200</v>
      </c>
    </row>
    <row r="9" spans="1:13" ht="18.75" hidden="1" customHeight="1" x14ac:dyDescent="0.4">
      <c r="K9" s="17">
        <v>150</v>
      </c>
      <c r="L9" s="17">
        <v>57670</v>
      </c>
      <c r="M9" s="17">
        <f t="shared" si="0"/>
        <v>115340</v>
      </c>
    </row>
    <row r="10" spans="1:13" ht="18.75" hidden="1" customHeight="1" x14ac:dyDescent="0.4">
      <c r="K10" s="17">
        <v>200</v>
      </c>
      <c r="L10" s="17">
        <v>81600</v>
      </c>
      <c r="M10" s="17">
        <f t="shared" si="0"/>
        <v>163200</v>
      </c>
    </row>
    <row r="11" spans="1:13" ht="18.75" hidden="1" customHeight="1" x14ac:dyDescent="0.4"/>
  </sheetData>
  <mergeCells count="3">
    <mergeCell ref="A1:B1"/>
    <mergeCell ref="D2:F2"/>
    <mergeCell ref="G2:G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1"/>
  <sheetViews>
    <sheetView topLeftCell="A1048576" workbookViewId="0">
      <selection activeCell="B4" sqref="B4:C4"/>
    </sheetView>
  </sheetViews>
  <sheetFormatPr defaultRowHeight="18.75" zeroHeight="1" x14ac:dyDescent="0.4"/>
  <cols>
    <col min="1" max="1" width="15.375" style="17" customWidth="1"/>
    <col min="2" max="2" width="19.25" style="34" bestFit="1" customWidth="1"/>
    <col min="3" max="9" width="9" style="17"/>
    <col min="10" max="11" width="9" style="18"/>
    <col min="12" max="16384" width="9" style="17"/>
  </cols>
  <sheetData>
    <row r="1" spans="1:15" ht="20.25" hidden="1" thickBot="1" x14ac:dyDescent="0.45">
      <c r="A1" s="56" t="s">
        <v>0</v>
      </c>
      <c r="B1" s="57"/>
      <c r="D1" s="17" t="s">
        <v>1</v>
      </c>
      <c r="G1" s="17" t="s">
        <v>41</v>
      </c>
      <c r="L1" s="17" t="s">
        <v>8</v>
      </c>
      <c r="M1" s="17" t="s">
        <v>2</v>
      </c>
      <c r="N1" s="17" t="s">
        <v>3</v>
      </c>
      <c r="O1" s="17" t="s">
        <v>4</v>
      </c>
    </row>
    <row r="2" spans="1:15" ht="18.75" hidden="1" customHeight="1" thickTop="1" thickBot="1" x14ac:dyDescent="0.45">
      <c r="A2" s="19" t="s">
        <v>5</v>
      </c>
      <c r="B2" s="20">
        <f>料金計算ツール!B5</f>
        <v>0</v>
      </c>
      <c r="D2" s="58" t="s">
        <v>6</v>
      </c>
      <c r="E2" s="59"/>
      <c r="F2" s="60"/>
      <c r="G2" s="61" t="s">
        <v>7</v>
      </c>
      <c r="H2" s="38">
        <v>13</v>
      </c>
      <c r="I2" s="38">
        <v>25</v>
      </c>
      <c r="J2" s="39">
        <v>50</v>
      </c>
      <c r="K2" s="39">
        <v>100</v>
      </c>
      <c r="M2" s="40">
        <v>13</v>
      </c>
      <c r="N2" s="17">
        <v>555</v>
      </c>
      <c r="O2" s="17">
        <f>N2*2</f>
        <v>1110</v>
      </c>
    </row>
    <row r="3" spans="1:15" ht="18.75" hidden="1" customHeight="1" thickBot="1" x14ac:dyDescent="0.45">
      <c r="A3" s="19" t="s">
        <v>9</v>
      </c>
      <c r="B3" s="21">
        <f>料金計算ツール!B6</f>
        <v>0</v>
      </c>
      <c r="D3" s="22" t="s">
        <v>10</v>
      </c>
      <c r="E3" s="22" t="s">
        <v>11</v>
      </c>
      <c r="F3" s="22" t="s">
        <v>12</v>
      </c>
      <c r="G3" s="61"/>
      <c r="H3" s="41">
        <v>20</v>
      </c>
      <c r="I3" s="40">
        <v>40</v>
      </c>
      <c r="J3" s="42">
        <v>75</v>
      </c>
      <c r="K3" s="39" t="s">
        <v>31</v>
      </c>
      <c r="M3" s="40">
        <v>20</v>
      </c>
      <c r="N3" s="17">
        <v>555</v>
      </c>
      <c r="O3" s="17">
        <f t="shared" ref="O3:O9" si="0">N3*2</f>
        <v>1110</v>
      </c>
    </row>
    <row r="4" spans="1:15" ht="18.75" hidden="1" customHeight="1" thickBot="1" x14ac:dyDescent="0.45">
      <c r="A4" s="23" t="s">
        <v>13</v>
      </c>
      <c r="B4" s="24" t="str">
        <f>IFERROR(VLOOKUP(B2,M2:O10,3,FALSE),"")</f>
        <v/>
      </c>
      <c r="D4" s="25">
        <v>1</v>
      </c>
      <c r="E4" s="25">
        <v>20</v>
      </c>
      <c r="F4" s="25">
        <v>10</v>
      </c>
      <c r="G4" s="43" t="str">
        <f>IF(OR($B$2=13,$B$2=20),H4,H8)</f>
        <v/>
      </c>
      <c r="H4" s="44">
        <v>60</v>
      </c>
      <c r="I4" s="45">
        <v>178</v>
      </c>
      <c r="J4" s="46">
        <v>200</v>
      </c>
      <c r="K4" s="46">
        <v>231</v>
      </c>
      <c r="M4" s="40">
        <v>25</v>
      </c>
      <c r="N4" s="17">
        <v>3000</v>
      </c>
      <c r="O4" s="17">
        <f t="shared" si="0"/>
        <v>6000</v>
      </c>
    </row>
    <row r="5" spans="1:15" ht="18.75" hidden="1" customHeight="1" thickBot="1" x14ac:dyDescent="0.45">
      <c r="A5" s="23" t="s">
        <v>14</v>
      </c>
      <c r="B5" s="27" t="str">
        <f>IFERROR(SUM(MAX(MIN(B3,E4),0)*G4,MAX(MIN(E5,B3)-E4,0)*G5,MAX(MIN(E6,B3)-E5,0)*G6,MAX(B3-E6,0)*G7),"")</f>
        <v/>
      </c>
      <c r="D5" s="25">
        <v>21</v>
      </c>
      <c r="E5" s="25">
        <v>40</v>
      </c>
      <c r="F5" s="25">
        <f>E5-E4</f>
        <v>20</v>
      </c>
      <c r="G5" s="43" t="str">
        <f>IF(OR($B$2=13,$B$2=20),H5,H9)</f>
        <v/>
      </c>
      <c r="H5" s="47">
        <v>178</v>
      </c>
      <c r="I5" s="35">
        <v>178</v>
      </c>
      <c r="J5" s="18">
        <v>200</v>
      </c>
      <c r="K5" s="18">
        <v>231</v>
      </c>
      <c r="M5" s="40">
        <v>40</v>
      </c>
      <c r="N5" s="17">
        <v>8100</v>
      </c>
      <c r="O5" s="17">
        <f t="shared" si="0"/>
        <v>16200</v>
      </c>
    </row>
    <row r="6" spans="1:15" ht="18.75" hidden="1" customHeight="1" x14ac:dyDescent="0.4">
      <c r="A6" s="28" t="s">
        <v>15</v>
      </c>
      <c r="B6" s="29" t="str">
        <f>IFERROR(B4+B5,"")</f>
        <v/>
      </c>
      <c r="D6" s="25">
        <v>41</v>
      </c>
      <c r="E6" s="25">
        <v>120</v>
      </c>
      <c r="F6" s="25">
        <f>E6-E5</f>
        <v>80</v>
      </c>
      <c r="G6" s="43" t="str">
        <f>IF(OR($B$2=13,$B$2=20),H6,H10)</f>
        <v/>
      </c>
      <c r="H6" s="47">
        <v>200</v>
      </c>
      <c r="I6" s="35">
        <v>200</v>
      </c>
      <c r="J6" s="18">
        <v>200</v>
      </c>
      <c r="K6" s="18">
        <v>231</v>
      </c>
      <c r="M6" s="40">
        <v>50</v>
      </c>
      <c r="N6" s="17">
        <v>13000</v>
      </c>
      <c r="O6" s="17">
        <f t="shared" si="0"/>
        <v>26000</v>
      </c>
    </row>
    <row r="7" spans="1:15" ht="18.75" hidden="1" customHeight="1" x14ac:dyDescent="0.4">
      <c r="A7" s="30" t="s">
        <v>16</v>
      </c>
      <c r="B7" s="31" t="str">
        <f>IFERROR(ROUNDDOWN(B6*0.1,0),"")</f>
        <v/>
      </c>
      <c r="D7" s="25">
        <v>121</v>
      </c>
      <c r="E7" s="25"/>
      <c r="F7" s="25"/>
      <c r="G7" s="43">
        <v>231</v>
      </c>
      <c r="H7" s="47">
        <v>231</v>
      </c>
      <c r="I7" s="35">
        <v>231</v>
      </c>
      <c r="J7" s="18">
        <v>231</v>
      </c>
      <c r="K7" s="18">
        <v>231</v>
      </c>
      <c r="M7" s="40">
        <v>75</v>
      </c>
      <c r="N7" s="17">
        <v>31500</v>
      </c>
      <c r="O7" s="17">
        <f t="shared" si="0"/>
        <v>63000</v>
      </c>
    </row>
    <row r="8" spans="1:15" ht="18.75" hidden="1" customHeight="1" thickBot="1" x14ac:dyDescent="0.45">
      <c r="A8" s="32" t="s">
        <v>17</v>
      </c>
      <c r="B8" s="33" t="str">
        <f>IFERROR(B6+B7,"")</f>
        <v/>
      </c>
      <c r="H8" s="48" t="str">
        <f>IF(OR($B$2=25,$B$2=40),I4,I8)</f>
        <v/>
      </c>
      <c r="I8" s="17" t="str">
        <f>IF(OR($B$2=50,$B$2=75),J4,J8)</f>
        <v/>
      </c>
      <c r="J8" s="18" t="str">
        <f>IF(OR($B$2=100,$B$2=150,$B$2=200),K4,"")</f>
        <v/>
      </c>
      <c r="M8" s="40">
        <v>100</v>
      </c>
      <c r="N8" s="17">
        <v>62000</v>
      </c>
      <c r="O8" s="17">
        <f t="shared" si="0"/>
        <v>124000</v>
      </c>
    </row>
    <row r="9" spans="1:15" ht="18.75" hidden="1" customHeight="1" x14ac:dyDescent="0.4">
      <c r="A9" s="49"/>
      <c r="B9" s="50"/>
      <c r="H9" s="48" t="str">
        <f>IF(OR($B$2=25,$B$2=40),I5,I9)</f>
        <v/>
      </c>
      <c r="I9" s="17" t="str">
        <f>IF(OR($B$2=50,$B$2=75),J5,J9)</f>
        <v/>
      </c>
      <c r="J9" s="18" t="str">
        <f>IF(OR($B$2=100,$B$2=150,$B$2=200),K5,"")</f>
        <v/>
      </c>
      <c r="M9" s="40">
        <v>150</v>
      </c>
      <c r="N9" s="17">
        <v>92000</v>
      </c>
      <c r="O9" s="17">
        <f t="shared" si="0"/>
        <v>184000</v>
      </c>
    </row>
    <row r="10" spans="1:15" ht="18.75" hidden="1" customHeight="1" x14ac:dyDescent="0.4">
      <c r="A10" s="49"/>
      <c r="B10" s="50"/>
      <c r="H10" s="48" t="str">
        <f>IF(OR($B$2=25,$B$2=40),I6,I10)</f>
        <v/>
      </c>
      <c r="I10" s="17" t="str">
        <f>IF(OR($B$2=50,$B$2=75),J6,J10)</f>
        <v/>
      </c>
      <c r="J10" s="18" t="str">
        <f>IF(OR($B$2=100,$B$2=150,$B$2=200),K6,"")</f>
        <v/>
      </c>
      <c r="M10" s="40">
        <v>200</v>
      </c>
      <c r="N10" s="17">
        <v>120000</v>
      </c>
      <c r="O10" s="17">
        <f>N10*2</f>
        <v>240000</v>
      </c>
    </row>
    <row r="11" spans="1:15" ht="18.75" hidden="1" customHeight="1" x14ac:dyDescent="0.4">
      <c r="A11" s="51"/>
    </row>
  </sheetData>
  <mergeCells count="3">
    <mergeCell ref="A1:B1"/>
    <mergeCell ref="D2:F2"/>
    <mergeCell ref="G2:G3"/>
  </mergeCells>
  <phoneticPr fontId="3"/>
  <dataValidations count="1">
    <dataValidation type="list" allowBlank="1" showInputMessage="1" showErrorMessage="1" sqref="B2">
      <formula1>$M$2:$M$10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1"/>
  <sheetViews>
    <sheetView topLeftCell="A1048576" workbookViewId="0">
      <selection activeCell="B4" sqref="B4:C4"/>
    </sheetView>
  </sheetViews>
  <sheetFormatPr defaultRowHeight="18.75" zeroHeight="1" x14ac:dyDescent="0.4"/>
  <cols>
    <col min="1" max="1" width="15.375" style="17" customWidth="1"/>
    <col min="2" max="2" width="19.25" style="34" bestFit="1" customWidth="1"/>
    <col min="3" max="8" width="9" style="17"/>
    <col min="9" max="9" width="9" style="18"/>
    <col min="10" max="16384" width="9" style="17"/>
  </cols>
  <sheetData>
    <row r="1" spans="1:7" ht="18.75" hidden="1" customHeight="1" x14ac:dyDescent="0.4">
      <c r="A1" s="56" t="s">
        <v>18</v>
      </c>
      <c r="B1" s="62"/>
      <c r="D1" s="17" t="s">
        <v>19</v>
      </c>
      <c r="G1" s="17" t="s">
        <v>40</v>
      </c>
    </row>
    <row r="2" spans="1:7" ht="18.75" hidden="1" customHeight="1" thickBot="1" x14ac:dyDescent="0.45">
      <c r="A2" s="63"/>
      <c r="B2" s="64"/>
      <c r="D2" s="58" t="s">
        <v>6</v>
      </c>
      <c r="E2" s="59"/>
      <c r="F2" s="60"/>
      <c r="G2" s="61" t="s">
        <v>7</v>
      </c>
    </row>
    <row r="3" spans="1:7" ht="18.75" hidden="1" customHeight="1" thickBot="1" x14ac:dyDescent="0.45">
      <c r="A3" s="19" t="s">
        <v>9</v>
      </c>
      <c r="B3" s="21">
        <f>料金計算ツール!B6</f>
        <v>0</v>
      </c>
      <c r="D3" s="22" t="s">
        <v>10</v>
      </c>
      <c r="E3" s="22" t="s">
        <v>11</v>
      </c>
      <c r="F3" s="22" t="s">
        <v>12</v>
      </c>
      <c r="G3" s="61"/>
    </row>
    <row r="4" spans="1:7" ht="18.75" hidden="1" customHeight="1" thickBot="1" x14ac:dyDescent="0.45">
      <c r="A4" s="23" t="s">
        <v>13</v>
      </c>
      <c r="B4" s="24">
        <v>920</v>
      </c>
      <c r="D4" s="25">
        <v>1</v>
      </c>
      <c r="E4" s="25">
        <v>20</v>
      </c>
      <c r="F4" s="25">
        <v>20</v>
      </c>
      <c r="G4" s="26">
        <v>70</v>
      </c>
    </row>
    <row r="5" spans="1:7" ht="18.75" hidden="1" customHeight="1" thickBot="1" x14ac:dyDescent="0.45">
      <c r="A5" s="23" t="s">
        <v>14</v>
      </c>
      <c r="B5" s="27">
        <f>IFERROR(SUM(MAX(MIN(B3,E4),0)*G4,MAX(MIN(E5,B3)-E4,0)*G5,MAX(MIN(E6,B3)-E5,0)*G6,MAX(MIN(E7,B3)-E6,0)*G7,MAX(MIN(E8,B3)-E7,0)*G8,MAX(B3-E8,0)*G9),"")</f>
        <v>0</v>
      </c>
      <c r="D5" s="25">
        <v>21</v>
      </c>
      <c r="E5" s="25">
        <v>40</v>
      </c>
      <c r="F5" s="25">
        <f>E5-E4</f>
        <v>20</v>
      </c>
      <c r="G5" s="26">
        <v>105</v>
      </c>
    </row>
    <row r="6" spans="1:7" ht="18.75" hidden="1" customHeight="1" x14ac:dyDescent="0.4">
      <c r="A6" s="28" t="s">
        <v>15</v>
      </c>
      <c r="B6" s="29">
        <f>IFERROR(B4+B5,"")</f>
        <v>920</v>
      </c>
      <c r="D6" s="25">
        <v>41</v>
      </c>
      <c r="E6" s="25">
        <v>60</v>
      </c>
      <c r="F6" s="25">
        <f>E6-E5</f>
        <v>20</v>
      </c>
      <c r="G6" s="26">
        <v>120</v>
      </c>
    </row>
    <row r="7" spans="1:7" ht="18.75" hidden="1" customHeight="1" x14ac:dyDescent="0.4">
      <c r="A7" s="30" t="s">
        <v>16</v>
      </c>
      <c r="B7" s="31">
        <f>IFERROR(ROUNDDOWN(B6*0.1,0),"")</f>
        <v>92</v>
      </c>
      <c r="D7" s="25">
        <v>61</v>
      </c>
      <c r="E7" s="25">
        <v>120</v>
      </c>
      <c r="F7" s="25">
        <f t="shared" ref="F7:F8" si="0">E7-E6</f>
        <v>60</v>
      </c>
      <c r="G7" s="26">
        <v>190</v>
      </c>
    </row>
    <row r="8" spans="1:7" ht="18.75" hidden="1" customHeight="1" thickBot="1" x14ac:dyDescent="0.45">
      <c r="A8" s="32" t="s">
        <v>17</v>
      </c>
      <c r="B8" s="33">
        <f>IFERROR(B6+B7,"")</f>
        <v>1012</v>
      </c>
      <c r="D8" s="25">
        <v>121</v>
      </c>
      <c r="E8" s="25">
        <v>1000</v>
      </c>
      <c r="F8" s="25">
        <f t="shared" si="0"/>
        <v>880</v>
      </c>
      <c r="G8" s="26">
        <v>230</v>
      </c>
    </row>
    <row r="9" spans="1:7" ht="18.75" hidden="1" customHeight="1" x14ac:dyDescent="0.4">
      <c r="D9" s="25">
        <v>1001</v>
      </c>
      <c r="E9" s="25"/>
      <c r="F9" s="25"/>
      <c r="G9" s="26">
        <v>245</v>
      </c>
    </row>
    <row r="10" spans="1:7" ht="18.75" hidden="1" customHeight="1" x14ac:dyDescent="0.4"/>
    <row r="11" spans="1:7" ht="18.75" hidden="1" customHeight="1" x14ac:dyDescent="0.4"/>
  </sheetData>
  <mergeCells count="3">
    <mergeCell ref="A1:B2"/>
    <mergeCell ref="D2:F2"/>
    <mergeCell ref="G2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1"/>
  <sheetViews>
    <sheetView topLeftCell="A1048576" workbookViewId="0">
      <selection activeCell="B4" sqref="B4:C4"/>
    </sheetView>
  </sheetViews>
  <sheetFormatPr defaultRowHeight="18.75" zeroHeight="1" x14ac:dyDescent="0.4"/>
  <cols>
    <col min="1" max="1" width="15.375" style="17" customWidth="1"/>
    <col min="2" max="2" width="19.25" style="34" bestFit="1" customWidth="1"/>
    <col min="3" max="8" width="9" style="17"/>
    <col min="9" max="9" width="9" style="18"/>
    <col min="10" max="16384" width="9" style="17"/>
  </cols>
  <sheetData>
    <row r="1" spans="1:9" ht="18.75" hidden="1" customHeight="1" x14ac:dyDescent="0.4">
      <c r="A1" s="56" t="s">
        <v>18</v>
      </c>
      <c r="B1" s="62"/>
      <c r="D1" s="17" t="s">
        <v>19</v>
      </c>
      <c r="G1" s="17" t="s">
        <v>39</v>
      </c>
    </row>
    <row r="2" spans="1:9" ht="18.75" hidden="1" customHeight="1" thickBot="1" x14ac:dyDescent="0.45">
      <c r="A2" s="63"/>
      <c r="B2" s="64"/>
      <c r="D2" s="58" t="s">
        <v>6</v>
      </c>
      <c r="E2" s="59"/>
      <c r="F2" s="60"/>
      <c r="G2" s="61" t="s">
        <v>7</v>
      </c>
    </row>
    <row r="3" spans="1:9" ht="18.75" hidden="1" customHeight="1" thickBot="1" x14ac:dyDescent="0.45">
      <c r="A3" s="19" t="s">
        <v>9</v>
      </c>
      <c r="B3" s="21" t="str">
        <f>IF(料金計算ツール!B4=料金計算ツール!H6,料金計算ツール!B6,"")</f>
        <v/>
      </c>
      <c r="D3" s="22" t="s">
        <v>10</v>
      </c>
      <c r="E3" s="22" t="s">
        <v>11</v>
      </c>
      <c r="F3" s="22" t="s">
        <v>12</v>
      </c>
      <c r="G3" s="61"/>
    </row>
    <row r="4" spans="1:9" ht="18.75" hidden="1" customHeight="1" thickBot="1" x14ac:dyDescent="0.45">
      <c r="A4" s="23" t="s">
        <v>13</v>
      </c>
      <c r="B4" s="24">
        <v>1500</v>
      </c>
      <c r="D4" s="25">
        <v>20</v>
      </c>
      <c r="E4" s="25">
        <v>40</v>
      </c>
      <c r="F4" s="25">
        <v>20</v>
      </c>
      <c r="G4" s="26">
        <v>80</v>
      </c>
      <c r="H4" s="35"/>
      <c r="I4" s="36"/>
    </row>
    <row r="5" spans="1:9" ht="18.75" hidden="1" customHeight="1" thickBot="1" x14ac:dyDescent="0.45">
      <c r="A5" s="23" t="s">
        <v>14</v>
      </c>
      <c r="B5" s="27" t="str">
        <f>IFERROR(IF(B3&gt;D4,SUM(MAX(MIN(B3,E4)-F4,0)*G4,MAX(MIN(E5,B3)-E4,0)*G5,MAX(MIN(E6,B3)-E5,0)*G6,MAX(MIN(E7,B3)-E6,0)*G7,MAX(MIN(E8,B3)-E7,0)*G8,MAX(MIN(E9,B3)-E8,0)*G9,MAX(MIN(E10,B3)-E9,0)*G10,MAX(B3-E10,0)*G11),0),"")</f>
        <v/>
      </c>
      <c r="D5" s="25">
        <v>41</v>
      </c>
      <c r="E5" s="25">
        <v>80</v>
      </c>
      <c r="F5" s="25">
        <f>E5-E4</f>
        <v>40</v>
      </c>
      <c r="G5" s="26">
        <v>90</v>
      </c>
      <c r="H5" s="35"/>
      <c r="I5" s="36"/>
    </row>
    <row r="6" spans="1:9" ht="18.75" hidden="1" customHeight="1" x14ac:dyDescent="0.4">
      <c r="A6" s="28" t="s">
        <v>15</v>
      </c>
      <c r="B6" s="29" t="str">
        <f>IFERROR(B4+B5,"")</f>
        <v/>
      </c>
      <c r="D6" s="25">
        <v>81</v>
      </c>
      <c r="E6" s="25">
        <v>120</v>
      </c>
      <c r="F6" s="25">
        <f>E6-E5</f>
        <v>40</v>
      </c>
      <c r="G6" s="26">
        <v>100</v>
      </c>
      <c r="H6" s="35"/>
      <c r="I6" s="36"/>
    </row>
    <row r="7" spans="1:9" ht="18.75" hidden="1" customHeight="1" x14ac:dyDescent="0.4">
      <c r="A7" s="30" t="s">
        <v>16</v>
      </c>
      <c r="B7" s="31" t="str">
        <f>IFERROR(ROUNDDOWN(B6*0.1,0),"")</f>
        <v/>
      </c>
      <c r="D7" s="25">
        <v>121</v>
      </c>
      <c r="E7" s="25">
        <v>180</v>
      </c>
      <c r="F7" s="25">
        <f t="shared" ref="F7:F9" si="0">E7-E6</f>
        <v>60</v>
      </c>
      <c r="G7" s="26">
        <v>110</v>
      </c>
      <c r="H7" s="35"/>
      <c r="I7" s="36"/>
    </row>
    <row r="8" spans="1:9" ht="18.75" hidden="1" customHeight="1" thickBot="1" x14ac:dyDescent="0.45">
      <c r="A8" s="32" t="s">
        <v>17</v>
      </c>
      <c r="B8" s="33" t="str">
        <f>IFERROR(B6+B7,"")</f>
        <v/>
      </c>
      <c r="D8" s="25">
        <v>181</v>
      </c>
      <c r="E8" s="25">
        <v>240</v>
      </c>
      <c r="F8" s="25">
        <f t="shared" si="0"/>
        <v>60</v>
      </c>
      <c r="G8" s="26">
        <v>130</v>
      </c>
      <c r="H8" s="35"/>
      <c r="I8" s="36"/>
    </row>
    <row r="9" spans="1:9" ht="18.75" hidden="1" customHeight="1" x14ac:dyDescent="0.4">
      <c r="D9" s="25">
        <v>241</v>
      </c>
      <c r="E9" s="25">
        <v>300</v>
      </c>
      <c r="F9" s="25">
        <f t="shared" si="0"/>
        <v>60</v>
      </c>
      <c r="G9" s="26">
        <v>140</v>
      </c>
      <c r="H9" s="35"/>
      <c r="I9" s="36"/>
    </row>
    <row r="10" spans="1:9" ht="18.75" hidden="1" customHeight="1" x14ac:dyDescent="0.4">
      <c r="D10" s="25">
        <v>301</v>
      </c>
      <c r="E10" s="25">
        <v>360</v>
      </c>
      <c r="F10" s="25">
        <f>E10-E7</f>
        <v>180</v>
      </c>
      <c r="G10" s="26">
        <v>150</v>
      </c>
      <c r="H10" s="35"/>
    </row>
    <row r="11" spans="1:9" ht="18.75" hidden="1" customHeight="1" x14ac:dyDescent="0.4">
      <c r="D11" s="25">
        <v>361</v>
      </c>
      <c r="E11" s="25"/>
      <c r="F11" s="25"/>
      <c r="G11" s="26">
        <v>160</v>
      </c>
    </row>
  </sheetData>
  <mergeCells count="3">
    <mergeCell ref="A1:B2"/>
    <mergeCell ref="D2:F2"/>
    <mergeCell ref="G2:G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1"/>
  <sheetViews>
    <sheetView topLeftCell="A1048576" workbookViewId="0">
      <selection activeCell="B4" sqref="B4:C4"/>
    </sheetView>
  </sheetViews>
  <sheetFormatPr defaultRowHeight="18.75" zeroHeight="1" x14ac:dyDescent="0.4"/>
  <cols>
    <col min="1" max="1" width="15.375" style="17" customWidth="1"/>
    <col min="2" max="2" width="19.25" style="34" bestFit="1" customWidth="1"/>
    <col min="3" max="8" width="9" style="17"/>
    <col min="9" max="9" width="9" style="18"/>
    <col min="10" max="16384" width="9" style="17"/>
  </cols>
  <sheetData>
    <row r="1" spans="1:9" ht="18.75" hidden="1" customHeight="1" x14ac:dyDescent="0.4">
      <c r="A1" s="56" t="s">
        <v>18</v>
      </c>
      <c r="B1" s="62"/>
      <c r="D1" s="17" t="s">
        <v>19</v>
      </c>
      <c r="G1" s="52" t="s">
        <v>38</v>
      </c>
      <c r="H1" s="52"/>
    </row>
    <row r="2" spans="1:9" ht="18.75" hidden="1" customHeight="1" thickBot="1" x14ac:dyDescent="0.45">
      <c r="A2" s="63"/>
      <c r="B2" s="64"/>
      <c r="D2" s="58" t="s">
        <v>6</v>
      </c>
      <c r="E2" s="59"/>
      <c r="F2" s="60"/>
      <c r="G2" s="61" t="s">
        <v>7</v>
      </c>
    </row>
    <row r="3" spans="1:9" ht="18.75" hidden="1" customHeight="1" thickBot="1" x14ac:dyDescent="0.45">
      <c r="A3" s="19" t="s">
        <v>9</v>
      </c>
      <c r="B3" s="21" t="str">
        <f>IF(料金計算ツール!B4=料金計算ツール!H6,料金計算ツール!B6,"")</f>
        <v/>
      </c>
      <c r="D3" s="22" t="s">
        <v>10</v>
      </c>
      <c r="E3" s="22" t="s">
        <v>11</v>
      </c>
      <c r="F3" s="22" t="s">
        <v>12</v>
      </c>
      <c r="G3" s="61"/>
    </row>
    <row r="4" spans="1:9" ht="18.75" hidden="1" customHeight="1" thickBot="1" x14ac:dyDescent="0.45">
      <c r="A4" s="23" t="s">
        <v>13</v>
      </c>
      <c r="B4" s="24">
        <v>1960</v>
      </c>
      <c r="D4" s="25">
        <v>20</v>
      </c>
      <c r="E4" s="25">
        <v>40</v>
      </c>
      <c r="F4" s="25">
        <v>20</v>
      </c>
      <c r="G4" s="26">
        <v>100</v>
      </c>
      <c r="H4" s="35"/>
      <c r="I4" s="36"/>
    </row>
    <row r="5" spans="1:9" ht="18.75" hidden="1" customHeight="1" thickBot="1" x14ac:dyDescent="0.45">
      <c r="A5" s="23" t="s">
        <v>14</v>
      </c>
      <c r="B5" s="27" t="str">
        <f>IFERROR(IF(B3&gt;D4,SUM(MAX(MIN(B3,E4)-F4,0)*G4,MAX(MIN(E5,B3)-E4,0)*G5,MAX(MIN(E6,B3)-E5,0)*G6,MAX(MIN(E7,B3)-E6,0)*G7,MAX(MIN(E8,B3)-E7,0)*G8,MAX(MIN(E9,B3)-E8,0)*G9,MAX(MIN(E10,B3)-E9,0)*G10,MAX(B3-E10,0)*G11),0),"")</f>
        <v/>
      </c>
      <c r="D5" s="25">
        <v>41</v>
      </c>
      <c r="E5" s="25">
        <v>80</v>
      </c>
      <c r="F5" s="25">
        <f>E5-E4</f>
        <v>40</v>
      </c>
      <c r="G5" s="26">
        <v>120</v>
      </c>
      <c r="H5" s="35"/>
      <c r="I5" s="36"/>
    </row>
    <row r="6" spans="1:9" ht="18.75" hidden="1" customHeight="1" x14ac:dyDescent="0.4">
      <c r="A6" s="28" t="s">
        <v>15</v>
      </c>
      <c r="B6" s="29" t="str">
        <f>IFERROR(B4+B5,"")</f>
        <v/>
      </c>
      <c r="D6" s="25">
        <v>81</v>
      </c>
      <c r="E6" s="25">
        <v>120</v>
      </c>
      <c r="F6" s="25">
        <f>E6-E5</f>
        <v>40</v>
      </c>
      <c r="G6" s="26">
        <v>130</v>
      </c>
      <c r="H6" s="35"/>
      <c r="I6" s="36"/>
    </row>
    <row r="7" spans="1:9" ht="18.75" hidden="1" customHeight="1" x14ac:dyDescent="0.4">
      <c r="A7" s="30" t="s">
        <v>16</v>
      </c>
      <c r="B7" s="31" t="str">
        <f>IFERROR(ROUNDDOWN(B6*0.1,0),"")</f>
        <v/>
      </c>
      <c r="D7" s="25">
        <v>121</v>
      </c>
      <c r="E7" s="25">
        <v>180</v>
      </c>
      <c r="F7" s="25">
        <f t="shared" ref="F7:F9" si="0">E7-E6</f>
        <v>60</v>
      </c>
      <c r="G7" s="26">
        <v>140</v>
      </c>
      <c r="H7" s="35"/>
      <c r="I7" s="36"/>
    </row>
    <row r="8" spans="1:9" ht="18.75" hidden="1" customHeight="1" thickBot="1" x14ac:dyDescent="0.45">
      <c r="A8" s="32" t="s">
        <v>17</v>
      </c>
      <c r="B8" s="33" t="str">
        <f>IFERROR(B6+B7,"")</f>
        <v/>
      </c>
      <c r="D8" s="25">
        <v>181</v>
      </c>
      <c r="E8" s="25">
        <v>240</v>
      </c>
      <c r="F8" s="25">
        <f t="shared" si="0"/>
        <v>60</v>
      </c>
      <c r="G8" s="26">
        <v>170</v>
      </c>
      <c r="H8" s="35"/>
      <c r="I8" s="36"/>
    </row>
    <row r="9" spans="1:9" ht="18.75" hidden="1" customHeight="1" x14ac:dyDescent="0.4">
      <c r="D9" s="25">
        <v>241</v>
      </c>
      <c r="E9" s="25">
        <v>300</v>
      </c>
      <c r="F9" s="25">
        <f t="shared" si="0"/>
        <v>60</v>
      </c>
      <c r="G9" s="26">
        <v>180</v>
      </c>
      <c r="H9" s="35"/>
      <c r="I9" s="36"/>
    </row>
    <row r="10" spans="1:9" ht="18.75" hidden="1" customHeight="1" x14ac:dyDescent="0.4">
      <c r="D10" s="25">
        <v>301</v>
      </c>
      <c r="E10" s="25">
        <v>360</v>
      </c>
      <c r="F10" s="25">
        <f>E10-E7</f>
        <v>180</v>
      </c>
      <c r="G10" s="26">
        <v>200</v>
      </c>
      <c r="H10" s="35"/>
    </row>
    <row r="11" spans="1:9" ht="18.75" hidden="1" customHeight="1" x14ac:dyDescent="0.4">
      <c r="D11" s="25">
        <v>361</v>
      </c>
      <c r="E11" s="25"/>
      <c r="F11" s="25"/>
      <c r="G11" s="26">
        <v>210</v>
      </c>
    </row>
  </sheetData>
  <mergeCells count="3">
    <mergeCell ref="A1:B2"/>
    <mergeCell ref="D2:F2"/>
    <mergeCell ref="G2:G3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1"/>
  <sheetViews>
    <sheetView topLeftCell="A1048576" workbookViewId="0">
      <selection activeCell="B4" sqref="B4:C4"/>
    </sheetView>
  </sheetViews>
  <sheetFormatPr defaultRowHeight="18.75" zeroHeight="1" x14ac:dyDescent="0.4"/>
  <cols>
    <col min="1" max="1" width="15.375" style="17" customWidth="1"/>
    <col min="2" max="2" width="19.25" style="34" bestFit="1" customWidth="1"/>
    <col min="3" max="8" width="9" style="17"/>
    <col min="9" max="9" width="9" style="18"/>
    <col min="10" max="16384" width="9" style="17"/>
  </cols>
  <sheetData>
    <row r="1" spans="1:9" ht="18.75" hidden="1" customHeight="1" x14ac:dyDescent="0.4">
      <c r="A1" s="56" t="s">
        <v>18</v>
      </c>
      <c r="B1" s="62"/>
      <c r="D1" s="17" t="s">
        <v>19</v>
      </c>
      <c r="G1" s="52" t="s">
        <v>37</v>
      </c>
    </row>
    <row r="2" spans="1:9" ht="18.75" hidden="1" customHeight="1" thickBot="1" x14ac:dyDescent="0.45">
      <c r="A2" s="63"/>
      <c r="B2" s="64"/>
      <c r="D2" s="58" t="s">
        <v>6</v>
      </c>
      <c r="E2" s="59"/>
      <c r="F2" s="60"/>
      <c r="G2" s="61" t="s">
        <v>7</v>
      </c>
    </row>
    <row r="3" spans="1:9" ht="18.75" hidden="1" customHeight="1" thickBot="1" x14ac:dyDescent="0.45">
      <c r="A3" s="19" t="s">
        <v>9</v>
      </c>
      <c r="B3" s="21" t="str">
        <f>IF(料金計算ツール!B4=料金計算ツール!H7,料金計算ツール!B6,"")</f>
        <v/>
      </c>
      <c r="D3" s="22" t="s">
        <v>10</v>
      </c>
      <c r="E3" s="22" t="s">
        <v>11</v>
      </c>
      <c r="F3" s="22" t="s">
        <v>12</v>
      </c>
      <c r="G3" s="61"/>
    </row>
    <row r="4" spans="1:9" ht="18.75" hidden="1" customHeight="1" thickBot="1" x14ac:dyDescent="0.45">
      <c r="A4" s="23" t="s">
        <v>13</v>
      </c>
      <c r="B4" s="24">
        <v>1800</v>
      </c>
      <c r="D4" s="25">
        <v>20</v>
      </c>
      <c r="E4" s="25">
        <v>60</v>
      </c>
      <c r="F4" s="25">
        <v>20</v>
      </c>
      <c r="G4" s="26">
        <v>110</v>
      </c>
      <c r="H4" s="35"/>
      <c r="I4" s="36"/>
    </row>
    <row r="5" spans="1:9" ht="18.75" hidden="1" customHeight="1" thickBot="1" x14ac:dyDescent="0.45">
      <c r="A5" s="23" t="s">
        <v>14</v>
      </c>
      <c r="B5" s="27" t="str">
        <f>IFERROR(IF(B3&gt;D4,SUM(MAX(MIN(B3,E4)-F4,0)*G4,MAX(MIN(E5,B3)-E4,0)*G5,MAX(B3-E5,0)*G6),0),"")</f>
        <v/>
      </c>
      <c r="D5" s="25">
        <v>61</v>
      </c>
      <c r="E5" s="25">
        <v>100</v>
      </c>
      <c r="F5" s="25">
        <f>E5-E4</f>
        <v>40</v>
      </c>
      <c r="G5" s="26">
        <v>135</v>
      </c>
      <c r="H5" s="35"/>
      <c r="I5" s="36"/>
    </row>
    <row r="6" spans="1:9" ht="18.75" hidden="1" customHeight="1" x14ac:dyDescent="0.4">
      <c r="A6" s="28" t="s">
        <v>15</v>
      </c>
      <c r="B6" s="29" t="str">
        <f>IFERROR(B4+B5,"")</f>
        <v/>
      </c>
      <c r="D6" s="25">
        <v>101</v>
      </c>
      <c r="E6" s="25"/>
      <c r="F6" s="25"/>
      <c r="G6" s="26">
        <v>156</v>
      </c>
      <c r="H6" s="35"/>
      <c r="I6" s="36"/>
    </row>
    <row r="7" spans="1:9" ht="18.75" hidden="1" customHeight="1" x14ac:dyDescent="0.4">
      <c r="A7" s="30" t="s">
        <v>16</v>
      </c>
      <c r="B7" s="31" t="str">
        <f>IFERROR(ROUNDDOWN(B6*0.1,0),"")</f>
        <v/>
      </c>
      <c r="D7" s="35"/>
      <c r="E7" s="36"/>
      <c r="I7" s="37"/>
    </row>
    <row r="8" spans="1:9" ht="18.75" hidden="1" customHeight="1" thickBot="1" x14ac:dyDescent="0.45">
      <c r="A8" s="32" t="s">
        <v>17</v>
      </c>
      <c r="B8" s="33" t="str">
        <f>IFERROR(B6+B7,"")</f>
        <v/>
      </c>
      <c r="D8" s="35"/>
      <c r="E8" s="36"/>
      <c r="I8" s="17"/>
    </row>
    <row r="9" spans="1:9" ht="18.75" hidden="1" customHeight="1" x14ac:dyDescent="0.4">
      <c r="D9" s="35"/>
      <c r="E9" s="36"/>
      <c r="I9" s="17"/>
    </row>
    <row r="10" spans="1:9" ht="18.75" hidden="1" customHeight="1" x14ac:dyDescent="0.4">
      <c r="D10" s="35"/>
      <c r="E10" s="18"/>
      <c r="I10" s="17"/>
    </row>
    <row r="11" spans="1:9" ht="18.75" hidden="1" customHeight="1" x14ac:dyDescent="0.4">
      <c r="E11" s="18"/>
      <c r="I11" s="17"/>
    </row>
  </sheetData>
  <mergeCells count="3">
    <mergeCell ref="A1:B2"/>
    <mergeCell ref="D2:F2"/>
    <mergeCell ref="G2:G3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1"/>
  <sheetViews>
    <sheetView topLeftCell="A1048576" workbookViewId="0">
      <selection activeCell="B4" sqref="B4:C4"/>
    </sheetView>
  </sheetViews>
  <sheetFormatPr defaultRowHeight="18.75" zeroHeight="1" x14ac:dyDescent="0.4"/>
  <cols>
    <col min="1" max="1" width="15.375" style="17" customWidth="1"/>
    <col min="2" max="2" width="19.25" style="34" bestFit="1" customWidth="1"/>
    <col min="3" max="8" width="9" style="17"/>
    <col min="9" max="9" width="9" style="18"/>
    <col min="10" max="16384" width="9" style="17"/>
  </cols>
  <sheetData>
    <row r="1" spans="1:9" ht="18.75" hidden="1" customHeight="1" x14ac:dyDescent="0.4">
      <c r="A1" s="56" t="s">
        <v>18</v>
      </c>
      <c r="B1" s="62"/>
      <c r="D1" s="17" t="s">
        <v>19</v>
      </c>
      <c r="G1" s="52" t="s">
        <v>36</v>
      </c>
    </row>
    <row r="2" spans="1:9" ht="18.75" hidden="1" customHeight="1" thickBot="1" x14ac:dyDescent="0.45">
      <c r="A2" s="63"/>
      <c r="B2" s="64"/>
      <c r="D2" s="58" t="s">
        <v>6</v>
      </c>
      <c r="E2" s="59"/>
      <c r="F2" s="60"/>
      <c r="G2" s="61" t="s">
        <v>7</v>
      </c>
    </row>
    <row r="3" spans="1:9" ht="18.75" hidden="1" customHeight="1" thickBot="1" x14ac:dyDescent="0.45">
      <c r="A3" s="19" t="s">
        <v>9</v>
      </c>
      <c r="B3" s="21" t="str">
        <f>IF(料金計算ツール!B4=料金計算ツール!H8,料金計算ツール!B6,"")</f>
        <v/>
      </c>
      <c r="D3" s="22" t="s">
        <v>10</v>
      </c>
      <c r="E3" s="22" t="s">
        <v>11</v>
      </c>
      <c r="F3" s="22" t="s">
        <v>12</v>
      </c>
      <c r="G3" s="61"/>
    </row>
    <row r="4" spans="1:9" ht="18.75" hidden="1" customHeight="1" thickBot="1" x14ac:dyDescent="0.45">
      <c r="A4" s="23" t="s">
        <v>13</v>
      </c>
      <c r="B4" s="24">
        <v>2000</v>
      </c>
      <c r="D4" s="25">
        <v>20</v>
      </c>
      <c r="E4" s="25">
        <v>60</v>
      </c>
      <c r="F4" s="25">
        <v>20</v>
      </c>
      <c r="G4" s="26">
        <v>120</v>
      </c>
      <c r="H4" s="35"/>
      <c r="I4" s="36"/>
    </row>
    <row r="5" spans="1:9" ht="18.75" hidden="1" customHeight="1" thickBot="1" x14ac:dyDescent="0.45">
      <c r="A5" s="23" t="s">
        <v>14</v>
      </c>
      <c r="B5" s="27" t="str">
        <f>IFERROR(IF(B3&gt;D4,SUM(MAX(MIN(B3,E4)-F4,0)*G4,MAX(MIN(E5,B3)-E4,0)*G5,MAX(B3-E5,0)*G6),0),"")</f>
        <v/>
      </c>
      <c r="D5" s="25">
        <v>61</v>
      </c>
      <c r="E5" s="25">
        <v>100</v>
      </c>
      <c r="F5" s="25">
        <f>E5-E4</f>
        <v>40</v>
      </c>
      <c r="G5" s="26">
        <v>150</v>
      </c>
      <c r="H5" s="35"/>
      <c r="I5" s="36"/>
    </row>
    <row r="6" spans="1:9" ht="18.75" hidden="1" customHeight="1" x14ac:dyDescent="0.4">
      <c r="A6" s="28" t="s">
        <v>15</v>
      </c>
      <c r="B6" s="29" t="str">
        <f>IFERROR(B4+B5,"")</f>
        <v/>
      </c>
      <c r="D6" s="25">
        <v>101</v>
      </c>
      <c r="E6" s="25"/>
      <c r="F6" s="25"/>
      <c r="G6" s="26">
        <v>180</v>
      </c>
      <c r="H6" s="35"/>
      <c r="I6" s="36"/>
    </row>
    <row r="7" spans="1:9" ht="18.75" hidden="1" customHeight="1" x14ac:dyDescent="0.4">
      <c r="A7" s="30" t="s">
        <v>16</v>
      </c>
      <c r="B7" s="31" t="str">
        <f>IFERROR(ROUNDDOWN(B6*0.1,0),"")</f>
        <v/>
      </c>
      <c r="D7" s="35"/>
      <c r="E7" s="36"/>
      <c r="I7" s="37"/>
    </row>
    <row r="8" spans="1:9" ht="18.75" hidden="1" customHeight="1" thickBot="1" x14ac:dyDescent="0.45">
      <c r="A8" s="32" t="s">
        <v>17</v>
      </c>
      <c r="B8" s="33" t="str">
        <f>IFERROR(B6+B7,"")</f>
        <v/>
      </c>
      <c r="D8" s="35"/>
      <c r="E8" s="36"/>
      <c r="I8" s="17"/>
    </row>
    <row r="9" spans="1:9" ht="18.75" hidden="1" customHeight="1" x14ac:dyDescent="0.4">
      <c r="D9" s="35"/>
      <c r="E9" s="36"/>
      <c r="I9" s="17"/>
    </row>
    <row r="10" spans="1:9" ht="18.75" hidden="1" customHeight="1" x14ac:dyDescent="0.4">
      <c r="D10" s="35"/>
      <c r="E10" s="18"/>
      <c r="I10" s="17"/>
    </row>
    <row r="11" spans="1:9" ht="18.75" hidden="1" customHeight="1" x14ac:dyDescent="0.4">
      <c r="E11" s="18"/>
      <c r="I11" s="17"/>
    </row>
  </sheetData>
  <mergeCells count="3">
    <mergeCell ref="A1:B2"/>
    <mergeCell ref="D2:F2"/>
    <mergeCell ref="G2:G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9"/>
  <sheetViews>
    <sheetView showGridLines="0" showRowColHeaders="0" tabSelected="1" zoomScaleNormal="100" workbookViewId="0">
      <selection activeCell="B4" sqref="B4:C4"/>
    </sheetView>
  </sheetViews>
  <sheetFormatPr defaultRowHeight="16.5" x14ac:dyDescent="0.4"/>
  <cols>
    <col min="1" max="1" width="18.625" style="2" bestFit="1" customWidth="1"/>
    <col min="2" max="2" width="15.625" style="2" customWidth="1"/>
    <col min="3" max="3" width="15.125" style="2" bestFit="1" customWidth="1"/>
    <col min="4" max="6" width="25.625" style="2" customWidth="1"/>
    <col min="7" max="7" width="13" style="2" customWidth="1"/>
    <col min="8" max="8" width="21.375" style="3" hidden="1" customWidth="1"/>
    <col min="9" max="9" width="10.75" style="4" hidden="1" customWidth="1"/>
    <col min="10" max="16384" width="9" style="2"/>
  </cols>
  <sheetData>
    <row r="1" spans="1:9" ht="21" x14ac:dyDescent="0.4">
      <c r="A1" s="54" t="s">
        <v>46</v>
      </c>
      <c r="F1" s="55" t="s">
        <v>45</v>
      </c>
    </row>
    <row r="2" spans="1:9" x14ac:dyDescent="0.4">
      <c r="A2" s="2" t="s">
        <v>44</v>
      </c>
    </row>
    <row r="3" spans="1:9" ht="17.25" thickBot="1" x14ac:dyDescent="0.45"/>
    <row r="4" spans="1:9" ht="23.1" customHeight="1" thickBot="1" x14ac:dyDescent="0.45">
      <c r="A4" s="1" t="s">
        <v>32</v>
      </c>
      <c r="B4" s="65"/>
      <c r="C4" s="65"/>
      <c r="D4" s="11" t="s">
        <v>20</v>
      </c>
      <c r="E4" s="8" t="s">
        <v>22</v>
      </c>
      <c r="F4" s="9" t="s">
        <v>23</v>
      </c>
    </row>
    <row r="5" spans="1:9" ht="23.1" customHeight="1" x14ac:dyDescent="0.4">
      <c r="A5" s="1" t="s">
        <v>33</v>
      </c>
      <c r="B5" s="12"/>
      <c r="C5" s="67" t="s">
        <v>30</v>
      </c>
      <c r="D5" s="68">
        <f>IF(OR(B4=H5,B4=H6,B4=H7,B4=H8),'2'!B8,0)</f>
        <v>0</v>
      </c>
      <c r="E5" s="68">
        <f>MAX(F10,F11,F12,F13)</f>
        <v>0</v>
      </c>
      <c r="F5" s="69">
        <f>IFERROR(D5+E5,"")</f>
        <v>0</v>
      </c>
      <c r="G5" s="5"/>
      <c r="H5" s="3" t="s">
        <v>24</v>
      </c>
      <c r="I5" s="4">
        <v>13</v>
      </c>
    </row>
    <row r="6" spans="1:9" ht="23.1" customHeight="1" x14ac:dyDescent="0.4">
      <c r="A6" s="1" t="s">
        <v>34</v>
      </c>
      <c r="B6" s="13"/>
      <c r="C6" s="70" t="s">
        <v>29</v>
      </c>
      <c r="D6" s="71">
        <f>IFERROR(IF(OR(B4=H5,B4=H6,B4=H7,B4=H8),'1'!B8,0),"メーター口径を選択して下さい。")</f>
        <v>0</v>
      </c>
      <c r="E6" s="71">
        <f>MAX(E10,E11,E12,E13)</f>
        <v>0</v>
      </c>
      <c r="F6" s="72">
        <f>IFERROR(D6+E6,"")</f>
        <v>0</v>
      </c>
      <c r="G6" s="5"/>
      <c r="H6" s="3" t="s">
        <v>25</v>
      </c>
      <c r="I6" s="4">
        <v>20</v>
      </c>
    </row>
    <row r="7" spans="1:9" ht="23.1" customHeight="1" thickBot="1" x14ac:dyDescent="0.45">
      <c r="A7" s="53" t="s">
        <v>43</v>
      </c>
      <c r="C7" s="10" t="s">
        <v>26</v>
      </c>
      <c r="D7" s="15">
        <f>IFERROR(D5-D6,"")</f>
        <v>0</v>
      </c>
      <c r="E7" s="15">
        <f>E5-E6</f>
        <v>0</v>
      </c>
      <c r="F7" s="16">
        <f>IFERROR(F5-F6,"")</f>
        <v>0</v>
      </c>
      <c r="H7" s="3" t="s">
        <v>21</v>
      </c>
      <c r="I7" s="4">
        <v>25</v>
      </c>
    </row>
    <row r="8" spans="1:9" ht="23.1" customHeight="1" x14ac:dyDescent="0.4">
      <c r="A8" s="66" t="str">
        <f>IF($B$4=$H$6,"※甲斐市下水道使用料は、令和6年7月検針分から新料金適用です。（令和6年5月検針分は現行料金適用です。）","")</f>
        <v/>
      </c>
      <c r="B8" s="66"/>
      <c r="C8" s="66"/>
      <c r="D8" s="66"/>
      <c r="E8" s="66"/>
      <c r="F8" s="66"/>
      <c r="H8" s="3" t="s">
        <v>27</v>
      </c>
      <c r="I8" s="4">
        <v>40</v>
      </c>
    </row>
    <row r="9" spans="1:9" hidden="1" x14ac:dyDescent="0.4">
      <c r="A9" s="7"/>
      <c r="B9" s="7"/>
      <c r="C9" s="7"/>
      <c r="D9" s="6" t="s">
        <v>28</v>
      </c>
      <c r="E9" s="2" t="s">
        <v>29</v>
      </c>
      <c r="F9" s="2" t="s">
        <v>30</v>
      </c>
      <c r="I9" s="4">
        <v>50</v>
      </c>
    </row>
    <row r="10" spans="1:9" hidden="1" x14ac:dyDescent="0.4">
      <c r="D10" s="2" t="str">
        <f>H5</f>
        <v>甲府市</v>
      </c>
      <c r="E10" s="14" t="str">
        <f>IF(B4=H5,'3'!B8,"")</f>
        <v/>
      </c>
      <c r="F10" s="14" t="str">
        <f>E10</f>
        <v/>
      </c>
      <c r="I10" s="4">
        <v>75</v>
      </c>
    </row>
    <row r="11" spans="1:9" hidden="1" x14ac:dyDescent="0.4">
      <c r="D11" s="2" t="str">
        <f t="shared" ref="D11:D13" si="0">H6</f>
        <v>甲斐市（旧敷島地区）</v>
      </c>
      <c r="E11" s="14" t="str">
        <f>IF(B4=H6,'4'!B8,"")</f>
        <v/>
      </c>
      <c r="F11" s="14" t="str">
        <f>IF(B4=H6,'4.5'!B8,"")</f>
        <v/>
      </c>
      <c r="I11" s="4">
        <v>100</v>
      </c>
    </row>
    <row r="12" spans="1:9" hidden="1" x14ac:dyDescent="0.4">
      <c r="D12" s="2" t="str">
        <f t="shared" si="0"/>
        <v>中央市（旧玉穂地区）</v>
      </c>
      <c r="E12" s="14" t="str">
        <f>IF(B4=H7,'5'!B8,"")</f>
        <v/>
      </c>
      <c r="F12" s="14" t="str">
        <f>E12</f>
        <v/>
      </c>
      <c r="I12" s="4">
        <v>150</v>
      </c>
    </row>
    <row r="13" spans="1:9" hidden="1" x14ac:dyDescent="0.4">
      <c r="D13" s="2" t="str">
        <f t="shared" si="0"/>
        <v>昭和町</v>
      </c>
      <c r="E13" s="14" t="str">
        <f>IF(B4=H8,'6'!B8,"")</f>
        <v/>
      </c>
      <c r="F13" s="14" t="str">
        <f>E13</f>
        <v/>
      </c>
      <c r="I13" s="4">
        <v>200</v>
      </c>
    </row>
    <row r="14" spans="1:9" x14ac:dyDescent="0.4">
      <c r="A14" s="2" t="s">
        <v>47</v>
      </c>
      <c r="I14" s="4" t="s">
        <v>35</v>
      </c>
    </row>
    <row r="15" spans="1:9" x14ac:dyDescent="0.4">
      <c r="A15" s="2" t="s">
        <v>48</v>
      </c>
    </row>
    <row r="19" spans="5:5" x14ac:dyDescent="0.4">
      <c r="E19" s="5"/>
    </row>
  </sheetData>
  <sheetProtection algorithmName="SHA-512" hashValue="Sciu+4+uPUCFuPr4Jcz/rloSJDuI/3b/wqtYFhj3XxFPEomLA7a+kJpQHYqkFrp+OrhOVQTYvbmwURPtY+YQ+w==" saltValue="7mAcZNUwe13XJBRETZkWqg==" spinCount="100000" sheet="1" selectLockedCells="1"/>
  <mergeCells count="2">
    <mergeCell ref="B4:C4"/>
    <mergeCell ref="A8:F8"/>
  </mergeCells>
  <phoneticPr fontId="3"/>
  <conditionalFormatting sqref="A8:A9">
    <cfRule type="expression" dxfId="1" priority="2">
      <formula>A8="※甲斐市下水道使用料は、令和6年7月検針分から新料金適用です。（令和6年5月検針分は現行料金適用です。）"</formula>
    </cfRule>
  </conditionalFormatting>
  <conditionalFormatting sqref="D6">
    <cfRule type="expression" dxfId="0" priority="1">
      <formula>$D$6="メーター口径を選択して下さい。"</formula>
    </cfRule>
  </conditionalFormatting>
  <dataValidations count="3">
    <dataValidation type="list" imeMode="disabled" allowBlank="1" showInputMessage="1" showErrorMessage="1" errorTitle="メーター口径選択エラー" error="メーター口径を選択してください。（キャンセルを押してから選択してください）" sqref="B5">
      <formula1>$I$5:$I$13</formula1>
    </dataValidation>
    <dataValidation type="list" imeMode="disabled" allowBlank="1" showInputMessage="1" showErrorMessage="1" errorTitle="地域選択エラー" error="使用される地域を選択して下さい。（キャンセルを押してから選択してください）" sqref="B4:C4">
      <formula1>$H$5:$H$8</formula1>
    </dataValidation>
    <dataValidation type="whole" imeMode="halfAlpha" operator="greaterThanOrEqual" allowBlank="1" showInputMessage="1" showErrorMessage="1" errorTitle="使用水量入力エラー" error="数値を入力してください。（キャンセルを押してから数値を入力してください）" sqref="B6">
      <formula1>0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4.5</vt:lpstr>
      <vt:lpstr>5</vt:lpstr>
      <vt:lpstr>6</vt:lpstr>
      <vt:lpstr>料金計算ツール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J4032</dc:creator>
  <cp:lastModifiedBy>J4032</cp:lastModifiedBy>
  <cp:lastPrinted>2023-12-27T01:50:07Z</cp:lastPrinted>
  <dcterms:created xsi:type="dcterms:W3CDTF">2023-11-13T05:20:15Z</dcterms:created>
  <dcterms:modified xsi:type="dcterms:W3CDTF">2024-01-05T07:44:02Z</dcterms:modified>
</cp:coreProperties>
</file>